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P:\IRP\Website\EDR\"/>
    </mc:Choice>
  </mc:AlternateContent>
  <xr:revisionPtr revIDLastSave="0" documentId="13_ncr:1_{11B42D47-78EB-4D26-930D-C4B07E4E887A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UM System" sheetId="5" r:id="rId1"/>
    <sheet name="MU" sheetId="1" r:id="rId2"/>
    <sheet name="UMKC" sheetId="3" r:id="rId3"/>
    <sheet name="S&amp;T" sheetId="2" r:id="rId4"/>
    <sheet name="UMSL" sheetId="4" r:id="rId5"/>
    <sheet name="UMSa" sheetId="6" state="hidden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E11" i="5" l="1"/>
  <c r="Y11" i="5"/>
  <c r="Y12" i="5"/>
  <c r="Y13" i="5"/>
  <c r="Y14" i="5"/>
  <c r="Y15" i="5"/>
  <c r="Y16" i="5"/>
  <c r="Y19" i="5"/>
  <c r="Y20" i="5"/>
  <c r="Y21" i="5"/>
  <c r="Y22" i="5"/>
  <c r="Y23" i="5"/>
  <c r="Y24" i="5"/>
  <c r="Y27" i="5"/>
  <c r="Y28" i="5"/>
  <c r="Y29" i="5"/>
  <c r="Y30" i="5"/>
  <c r="Y31" i="5"/>
  <c r="Y32" i="5"/>
  <c r="AE23" i="5"/>
  <c r="AE22" i="5"/>
  <c r="AE21" i="5"/>
  <c r="AE20" i="5"/>
  <c r="AE19" i="5"/>
  <c r="AE15" i="5"/>
  <c r="AE14" i="5"/>
  <c r="AE13" i="5"/>
  <c r="AE12" i="5"/>
  <c r="AE31" i="4"/>
  <c r="AE30" i="4"/>
  <c r="AE29" i="4"/>
  <c r="AE28" i="4"/>
  <c r="AE24" i="4"/>
  <c r="AE31" i="2"/>
  <c r="AE30" i="2"/>
  <c r="AE29" i="2"/>
  <c r="AE28" i="2"/>
  <c r="AE27" i="2"/>
  <c r="AE24" i="2"/>
  <c r="AE16" i="2"/>
  <c r="AE31" i="3"/>
  <c r="AE30" i="3"/>
  <c r="AE29" i="3"/>
  <c r="AE28" i="3"/>
  <c r="AE27" i="3"/>
  <c r="AE24" i="3"/>
  <c r="AE16" i="3"/>
  <c r="AE31" i="1"/>
  <c r="AE30" i="1"/>
  <c r="AE29" i="1"/>
  <c r="AE28" i="1"/>
  <c r="AE27" i="1"/>
  <c r="AE24" i="1"/>
  <c r="AE16" i="1"/>
  <c r="AD15" i="5"/>
  <c r="AD12" i="5"/>
  <c r="AD27" i="3"/>
  <c r="AD24" i="1"/>
  <c r="AD23" i="5"/>
  <c r="AD22" i="5"/>
  <c r="AD21" i="5"/>
  <c r="AD20" i="5"/>
  <c r="AD19" i="5"/>
  <c r="AD14" i="5"/>
  <c r="AD13" i="5"/>
  <c r="AD31" i="4"/>
  <c r="AD30" i="4"/>
  <c r="AD29" i="4"/>
  <c r="AD28" i="4"/>
  <c r="AD27" i="4"/>
  <c r="AD32" i="4" s="1"/>
  <c r="AD24" i="4"/>
  <c r="AD16" i="4"/>
  <c r="AD31" i="2"/>
  <c r="AD30" i="2"/>
  <c r="AD29" i="2"/>
  <c r="AD28" i="2"/>
  <c r="AD27" i="2"/>
  <c r="AD24" i="2"/>
  <c r="AD16" i="2"/>
  <c r="AD30" i="3"/>
  <c r="AD29" i="3"/>
  <c r="AD24" i="3"/>
  <c r="AD31" i="1"/>
  <c r="AD30" i="1"/>
  <c r="AD29" i="1"/>
  <c r="AD28" i="1"/>
  <c r="AD27" i="1"/>
  <c r="AD16" i="1"/>
  <c r="AC16" i="4"/>
  <c r="AC23" i="5"/>
  <c r="AC31" i="2"/>
  <c r="AC31" i="3"/>
  <c r="AC30" i="3"/>
  <c r="AC24" i="3"/>
  <c r="AC27" i="3"/>
  <c r="AC28" i="1"/>
  <c r="AC29" i="1"/>
  <c r="AC30" i="1"/>
  <c r="AC31" i="1"/>
  <c r="AC22" i="5"/>
  <c r="AC21" i="5"/>
  <c r="AC20" i="5"/>
  <c r="AC19" i="5"/>
  <c r="AC13" i="5"/>
  <c r="AC12" i="5"/>
  <c r="AC30" i="4"/>
  <c r="AC29" i="4"/>
  <c r="AC28" i="4"/>
  <c r="AC27" i="4"/>
  <c r="AC29" i="2"/>
  <c r="AC28" i="2"/>
  <c r="AC27" i="2"/>
  <c r="AC24" i="2"/>
  <c r="AC29" i="3"/>
  <c r="AC28" i="3"/>
  <c r="AC27" i="1"/>
  <c r="AC24" i="1"/>
  <c r="AC16" i="1"/>
  <c r="AB23" i="5"/>
  <c r="AB22" i="5"/>
  <c r="AB21" i="5"/>
  <c r="AB20" i="5"/>
  <c r="AB19" i="5"/>
  <c r="AB15" i="5"/>
  <c r="AB14" i="5"/>
  <c r="AB13" i="5"/>
  <c r="AB12" i="5"/>
  <c r="AB11" i="5"/>
  <c r="AB16" i="4"/>
  <c r="AB27" i="4"/>
  <c r="AB29" i="4"/>
  <c r="AB28" i="4"/>
  <c r="AB24" i="4"/>
  <c r="AB27" i="2"/>
  <c r="AB31" i="2"/>
  <c r="AB30" i="2"/>
  <c r="AB29" i="2"/>
  <c r="AB28" i="2"/>
  <c r="AB24" i="2"/>
  <c r="AB16" i="2"/>
  <c r="AB28" i="3"/>
  <c r="AB27" i="3"/>
  <c r="AB31" i="3"/>
  <c r="AB29" i="3"/>
  <c r="AB24" i="3"/>
  <c r="AE16" i="4" l="1"/>
  <c r="AE27" i="4"/>
  <c r="AE32" i="4" s="1"/>
  <c r="AE32" i="3"/>
  <c r="AE29" i="5"/>
  <c r="AE32" i="1"/>
  <c r="AE28" i="5"/>
  <c r="AE16" i="5"/>
  <c r="AE32" i="2"/>
  <c r="AE30" i="5"/>
  <c r="AE24" i="5"/>
  <c r="AE31" i="5"/>
  <c r="AE27" i="5"/>
  <c r="AD30" i="5"/>
  <c r="AD28" i="5"/>
  <c r="AD31" i="3"/>
  <c r="AD28" i="3"/>
  <c r="AD16" i="3"/>
  <c r="AD11" i="5"/>
  <c r="AD27" i="5" s="1"/>
  <c r="AD31" i="5"/>
  <c r="AD29" i="5"/>
  <c r="AD24" i="5"/>
  <c r="AD32" i="1"/>
  <c r="AD32" i="2"/>
  <c r="AC31" i="4"/>
  <c r="AC32" i="4" s="1"/>
  <c r="AC24" i="4"/>
  <c r="AC11" i="5"/>
  <c r="AC27" i="5" s="1"/>
  <c r="AC28" i="5"/>
  <c r="AC24" i="5"/>
  <c r="AC32" i="1"/>
  <c r="AC29" i="5"/>
  <c r="AB29" i="5"/>
  <c r="AB30" i="5"/>
  <c r="AB31" i="5"/>
  <c r="AB27" i="5"/>
  <c r="AB28" i="5"/>
  <c r="AB24" i="5"/>
  <c r="AB16" i="5"/>
  <c r="AB31" i="4"/>
  <c r="AB30" i="4"/>
  <c r="AB32" i="4" s="1"/>
  <c r="AB32" i="2"/>
  <c r="AB31" i="1"/>
  <c r="AB16" i="1"/>
  <c r="AB29" i="1"/>
  <c r="AB28" i="1"/>
  <c r="AB27" i="1"/>
  <c r="AB24" i="1"/>
  <c r="AA23" i="5"/>
  <c r="AA22" i="5"/>
  <c r="AA21" i="5"/>
  <c r="AA20" i="5"/>
  <c r="AA19" i="5"/>
  <c r="AA15" i="5"/>
  <c r="AA14" i="5"/>
  <c r="AA13" i="5"/>
  <c r="AA12" i="5"/>
  <c r="AA11" i="5"/>
  <c r="AA31" i="4"/>
  <c r="AA30" i="4"/>
  <c r="AA29" i="4"/>
  <c r="AA28" i="4"/>
  <c r="AA27" i="4"/>
  <c r="AA24" i="4"/>
  <c r="AA16" i="4"/>
  <c r="AA31" i="2"/>
  <c r="AA30" i="2"/>
  <c r="AA29" i="2"/>
  <c r="AA28" i="2"/>
  <c r="AA27" i="2"/>
  <c r="AA24" i="2"/>
  <c r="AA16" i="2"/>
  <c r="AA31" i="3"/>
  <c r="AA30" i="3"/>
  <c r="AA29" i="3"/>
  <c r="AA28" i="3"/>
  <c r="AA27" i="3"/>
  <c r="AA24" i="3"/>
  <c r="AA16" i="3"/>
  <c r="AA31" i="1"/>
  <c r="AA30" i="1"/>
  <c r="AA29" i="1"/>
  <c r="AA28" i="1"/>
  <c r="AA27" i="1"/>
  <c r="AA24" i="1"/>
  <c r="AA16" i="1"/>
  <c r="AE32" i="5" l="1"/>
  <c r="AD32" i="5"/>
  <c r="AD16" i="5"/>
  <c r="AD32" i="3"/>
  <c r="AB32" i="5"/>
  <c r="AB30" i="1"/>
  <c r="AB32" i="1" s="1"/>
  <c r="AA27" i="5"/>
  <c r="AA31" i="5"/>
  <c r="AA30" i="5"/>
  <c r="AA28" i="5"/>
  <c r="AA16" i="5"/>
  <c r="AA24" i="5"/>
  <c r="AA29" i="5"/>
  <c r="AA32" i="4"/>
  <c r="AA32" i="2"/>
  <c r="AA32" i="3"/>
  <c r="AA32" i="1"/>
  <c r="Z23" i="5"/>
  <c r="Z14" i="5"/>
  <c r="Z29" i="4"/>
  <c r="Z16" i="4"/>
  <c r="Z31" i="2"/>
  <c r="Z30" i="2"/>
  <c r="Z16" i="3"/>
  <c r="Z22" i="5"/>
  <c r="Z21" i="5"/>
  <c r="Z20" i="5"/>
  <c r="Z19" i="5"/>
  <c r="Z13" i="5"/>
  <c r="Z12" i="5"/>
  <c r="Z30" i="4"/>
  <c r="Z28" i="4"/>
  <c r="Z27" i="4"/>
  <c r="Z24" i="4"/>
  <c r="Z29" i="2"/>
  <c r="Z28" i="2"/>
  <c r="Z27" i="2"/>
  <c r="Z24" i="2"/>
  <c r="Z29" i="3"/>
  <c r="Z28" i="3"/>
  <c r="Z27" i="3"/>
  <c r="Z29" i="1"/>
  <c r="Z28" i="1"/>
  <c r="Z27" i="1"/>
  <c r="AA32" i="5" l="1"/>
  <c r="Z29" i="5"/>
  <c r="Z11" i="5"/>
  <c r="Z27" i="5" s="1"/>
  <c r="Z30" i="5"/>
  <c r="Z28" i="5"/>
  <c r="Z16" i="2"/>
  <c r="Z24" i="3"/>
  <c r="Z30" i="3"/>
  <c r="Z24" i="1"/>
  <c r="Z30" i="1"/>
  <c r="Z24" i="5"/>
  <c r="Z31" i="4"/>
  <c r="Z32" i="4" s="1"/>
  <c r="Z32" i="2"/>
  <c r="Z31" i="3"/>
  <c r="Y29" i="1"/>
  <c r="Y28" i="1"/>
  <c r="Y27" i="1"/>
  <c r="Y23" i="3"/>
  <c r="Y24" i="3" s="1"/>
  <c r="Y15" i="3"/>
  <c r="Y30" i="3"/>
  <c r="Y29" i="3"/>
  <c r="Y28" i="3"/>
  <c r="Y27" i="3"/>
  <c r="Y15" i="4"/>
  <c r="Y16" i="4" s="1"/>
  <c r="Y23" i="4"/>
  <c r="Y24" i="4" s="1"/>
  <c r="Y29" i="4"/>
  <c r="Y28" i="4"/>
  <c r="Y27" i="4"/>
  <c r="Y31" i="1" l="1"/>
  <c r="Z32" i="3"/>
  <c r="Y24" i="1"/>
  <c r="Y16" i="3"/>
  <c r="Y31" i="3"/>
  <c r="Y32" i="3" s="1"/>
  <c r="Y30" i="4"/>
  <c r="Y31" i="4"/>
  <c r="Y15" i="2"/>
  <c r="Y29" i="2"/>
  <c r="Y28" i="2"/>
  <c r="Y24" i="2"/>
  <c r="Y16" i="2" l="1"/>
  <c r="Y31" i="2"/>
  <c r="Y32" i="4"/>
  <c r="Y30" i="2"/>
  <c r="Y27" i="2"/>
  <c r="X22" i="5"/>
  <c r="X21" i="5"/>
  <c r="X20" i="5"/>
  <c r="X19" i="5"/>
  <c r="X14" i="5"/>
  <c r="X13" i="5"/>
  <c r="X12" i="5"/>
  <c r="X11" i="5"/>
  <c r="X15" i="4"/>
  <c r="X15" i="5" s="1"/>
  <c r="X30" i="4"/>
  <c r="X23" i="4"/>
  <c r="X24" i="4" s="1"/>
  <c r="X29" i="4"/>
  <c r="X28" i="4"/>
  <c r="X27" i="4"/>
  <c r="X15" i="2"/>
  <c r="X16" i="2"/>
  <c r="X23" i="2"/>
  <c r="X24" i="2" s="1"/>
  <c r="X29" i="2"/>
  <c r="X28" i="2"/>
  <c r="X27" i="2"/>
  <c r="X15" i="3"/>
  <c r="X16" i="3" s="1"/>
  <c r="X23" i="3"/>
  <c r="X24" i="3" s="1"/>
  <c r="X30" i="3"/>
  <c r="X29" i="3"/>
  <c r="X28" i="3"/>
  <c r="X27" i="3"/>
  <c r="X24" i="1"/>
  <c r="X16" i="1"/>
  <c r="X30" i="1"/>
  <c r="X29" i="1"/>
  <c r="X28" i="1"/>
  <c r="X27" i="1"/>
  <c r="X27" i="5" l="1"/>
  <c r="X23" i="5"/>
  <c r="X31" i="5" s="1"/>
  <c r="X30" i="5"/>
  <c r="X28" i="5"/>
  <c r="Y32" i="2"/>
  <c r="X29" i="5"/>
  <c r="X16" i="5"/>
  <c r="X16" i="4"/>
  <c r="X31" i="4"/>
  <c r="X32" i="4" s="1"/>
  <c r="X30" i="2"/>
  <c r="X31" i="2"/>
  <c r="X31" i="3"/>
  <c r="X32" i="3" s="1"/>
  <c r="X31" i="1"/>
  <c r="X32" i="1" s="1"/>
  <c r="W15" i="4"/>
  <c r="W30" i="4"/>
  <c r="W29" i="4"/>
  <c r="W28" i="4"/>
  <c r="W23" i="4"/>
  <c r="W24" i="4" s="1"/>
  <c r="W15" i="2"/>
  <c r="W16" i="2" s="1"/>
  <c r="W13" i="5"/>
  <c r="W23" i="2"/>
  <c r="W29" i="2"/>
  <c r="W28" i="2"/>
  <c r="W27" i="2"/>
  <c r="W15" i="3"/>
  <c r="W16" i="3" s="1"/>
  <c r="W23" i="3"/>
  <c r="W24" i="3" s="1"/>
  <c r="W29" i="3"/>
  <c r="W28" i="3"/>
  <c r="W27" i="3"/>
  <c r="W21" i="5"/>
  <c r="W20" i="5"/>
  <c r="W19" i="5"/>
  <c r="W23" i="1"/>
  <c r="W24" i="1" s="1"/>
  <c r="W15" i="1"/>
  <c r="W16" i="1" s="1"/>
  <c r="W30" i="1"/>
  <c r="W29" i="1"/>
  <c r="W28" i="1"/>
  <c r="W27" i="1"/>
  <c r="W31" i="4" l="1"/>
  <c r="X24" i="5"/>
  <c r="W23" i="5"/>
  <c r="W31" i="3"/>
  <c r="W15" i="5"/>
  <c r="X32" i="5"/>
  <c r="X32" i="2"/>
  <c r="W16" i="4"/>
  <c r="W27" i="4"/>
  <c r="W31" i="2"/>
  <c r="W30" i="2"/>
  <c r="W12" i="5"/>
  <c r="W28" i="5" s="1"/>
  <c r="W22" i="5"/>
  <c r="W24" i="2"/>
  <c r="W11" i="5"/>
  <c r="W27" i="5" s="1"/>
  <c r="W30" i="3"/>
  <c r="W32" i="3" s="1"/>
  <c r="W14" i="5"/>
  <c r="W29" i="5"/>
  <c r="W31" i="1"/>
  <c r="W32" i="1" s="1"/>
  <c r="H24" i="5"/>
  <c r="G24" i="5"/>
  <c r="I24" i="5"/>
  <c r="M24" i="5"/>
  <c r="L24" i="5"/>
  <c r="K24" i="5"/>
  <c r="J24" i="5"/>
  <c r="P24" i="5"/>
  <c r="O24" i="5"/>
  <c r="N24" i="5"/>
  <c r="Q24" i="5"/>
  <c r="H19" i="5"/>
  <c r="G19" i="5"/>
  <c r="I19" i="5"/>
  <c r="P19" i="5"/>
  <c r="O19" i="5"/>
  <c r="N19" i="5"/>
  <c r="M19" i="5"/>
  <c r="L19" i="5"/>
  <c r="K19" i="5"/>
  <c r="J19" i="5"/>
  <c r="Q19" i="5"/>
  <c r="F15" i="5"/>
  <c r="E15" i="5"/>
  <c r="D15" i="5"/>
  <c r="F14" i="5"/>
  <c r="E14" i="5"/>
  <c r="D14" i="5"/>
  <c r="F13" i="5"/>
  <c r="E13" i="5"/>
  <c r="D13" i="5"/>
  <c r="F12" i="5"/>
  <c r="E12" i="5"/>
  <c r="D12" i="5"/>
  <c r="F11" i="5"/>
  <c r="E11" i="5"/>
  <c r="D11" i="5"/>
  <c r="H15" i="5"/>
  <c r="G15" i="5"/>
  <c r="H14" i="5"/>
  <c r="G14" i="5"/>
  <c r="H13" i="5"/>
  <c r="G13" i="5"/>
  <c r="H12" i="5"/>
  <c r="G12" i="5"/>
  <c r="H11" i="5"/>
  <c r="G11" i="5"/>
  <c r="I15" i="5"/>
  <c r="I14" i="5"/>
  <c r="I13" i="5"/>
  <c r="I12" i="5"/>
  <c r="I11" i="5"/>
  <c r="W32" i="4" l="1"/>
  <c r="W31" i="5"/>
  <c r="W24" i="5"/>
  <c r="W30" i="5"/>
  <c r="W32" i="2"/>
  <c r="W16" i="5"/>
  <c r="I27" i="6"/>
  <c r="H27" i="6"/>
  <c r="G27" i="6"/>
  <c r="I16" i="6"/>
  <c r="I32" i="6" s="1"/>
  <c r="H16" i="6"/>
  <c r="H32" i="6" s="1"/>
  <c r="G16" i="6"/>
  <c r="G32" i="6" s="1"/>
  <c r="F16" i="6"/>
  <c r="E16" i="6"/>
  <c r="D16" i="6"/>
  <c r="I16" i="5"/>
  <c r="D16" i="5"/>
  <c r="E16" i="5"/>
  <c r="F16" i="5"/>
  <c r="G16" i="5"/>
  <c r="H16" i="5"/>
  <c r="Q15" i="5"/>
  <c r="P15" i="5"/>
  <c r="O15" i="5"/>
  <c r="N15" i="5"/>
  <c r="M15" i="5"/>
  <c r="L15" i="5"/>
  <c r="K15" i="5"/>
  <c r="J15" i="5"/>
  <c r="Q14" i="5"/>
  <c r="P14" i="5"/>
  <c r="O14" i="5"/>
  <c r="N14" i="5"/>
  <c r="M14" i="5"/>
  <c r="L14" i="5"/>
  <c r="K14" i="5"/>
  <c r="J14" i="5"/>
  <c r="Q13" i="5"/>
  <c r="P13" i="5"/>
  <c r="O13" i="5"/>
  <c r="N13" i="5"/>
  <c r="M13" i="5"/>
  <c r="L13" i="5"/>
  <c r="K13" i="5"/>
  <c r="J13" i="5"/>
  <c r="Q12" i="5"/>
  <c r="P12" i="5"/>
  <c r="O12" i="5"/>
  <c r="N12" i="5"/>
  <c r="M12" i="5"/>
  <c r="L12" i="5"/>
  <c r="K12" i="5"/>
  <c r="J12" i="5"/>
  <c r="Q11" i="5"/>
  <c r="P11" i="5"/>
  <c r="O11" i="5"/>
  <c r="N11" i="5"/>
  <c r="M11" i="5"/>
  <c r="L11" i="5"/>
  <c r="K11" i="5"/>
  <c r="J11" i="5"/>
  <c r="U22" i="5"/>
  <c r="T22" i="5"/>
  <c r="U21" i="5"/>
  <c r="T21" i="5"/>
  <c r="S21" i="5"/>
  <c r="R21" i="5"/>
  <c r="U20" i="5"/>
  <c r="T20" i="5"/>
  <c r="S20" i="5"/>
  <c r="R20" i="5"/>
  <c r="U19" i="5"/>
  <c r="T19" i="5"/>
  <c r="S19" i="5"/>
  <c r="R19" i="5"/>
  <c r="U14" i="5"/>
  <c r="T14" i="5"/>
  <c r="U13" i="5"/>
  <c r="T13" i="5"/>
  <c r="S13" i="5"/>
  <c r="R13" i="5"/>
  <c r="U12" i="5"/>
  <c r="T12" i="5"/>
  <c r="S12" i="5"/>
  <c r="R12" i="5"/>
  <c r="U11" i="5"/>
  <c r="T11" i="5"/>
  <c r="S11" i="5"/>
  <c r="R11" i="5"/>
  <c r="V22" i="5"/>
  <c r="V21" i="5"/>
  <c r="V20" i="5"/>
  <c r="V19" i="5"/>
  <c r="V14" i="5"/>
  <c r="V13" i="5"/>
  <c r="V12" i="5"/>
  <c r="V11" i="5"/>
  <c r="R28" i="5" l="1"/>
  <c r="W32" i="5"/>
  <c r="N16" i="5"/>
  <c r="M16" i="5"/>
  <c r="O16" i="5"/>
  <c r="J16" i="5"/>
  <c r="K16" i="5"/>
  <c r="Q16" i="5"/>
  <c r="L16" i="5"/>
  <c r="P16" i="5"/>
  <c r="V30" i="5"/>
  <c r="U30" i="5"/>
  <c r="T30" i="5"/>
  <c r="V29" i="5"/>
  <c r="U29" i="5"/>
  <c r="T29" i="5"/>
  <c r="S29" i="5"/>
  <c r="R29" i="5"/>
  <c r="V28" i="5"/>
  <c r="U28" i="5"/>
  <c r="T28" i="5"/>
  <c r="S28" i="5"/>
  <c r="V27" i="5"/>
  <c r="U27" i="5"/>
  <c r="T27" i="5"/>
  <c r="S27" i="5"/>
  <c r="R27" i="5"/>
  <c r="Q27" i="5"/>
  <c r="P27" i="5"/>
  <c r="O27" i="5"/>
  <c r="N27" i="5"/>
  <c r="M27" i="5"/>
  <c r="L27" i="5"/>
  <c r="K27" i="5"/>
  <c r="J27" i="5"/>
  <c r="I27" i="5"/>
  <c r="H27" i="5"/>
  <c r="G27" i="5"/>
  <c r="V30" i="4"/>
  <c r="U30" i="4"/>
  <c r="T30" i="4"/>
  <c r="S30" i="4"/>
  <c r="R30" i="4"/>
  <c r="V29" i="4"/>
  <c r="U29" i="4"/>
  <c r="T29" i="4"/>
  <c r="S29" i="4"/>
  <c r="R29" i="4"/>
  <c r="V28" i="4"/>
  <c r="U28" i="4"/>
  <c r="T28" i="4"/>
  <c r="S28" i="4"/>
  <c r="R28" i="4"/>
  <c r="V27" i="4"/>
  <c r="U27" i="4"/>
  <c r="T27" i="4"/>
  <c r="S27" i="4"/>
  <c r="R27" i="4"/>
  <c r="Q27" i="4"/>
  <c r="P27" i="4"/>
  <c r="O27" i="4"/>
  <c r="N27" i="4"/>
  <c r="M27" i="4"/>
  <c r="L27" i="4"/>
  <c r="K27" i="4"/>
  <c r="J27" i="4"/>
  <c r="I27" i="4"/>
  <c r="H27" i="4"/>
  <c r="G27" i="4"/>
  <c r="V23" i="4"/>
  <c r="V24" i="4" s="1"/>
  <c r="U23" i="4"/>
  <c r="U24" i="4" s="1"/>
  <c r="T23" i="4"/>
  <c r="T24" i="4" s="1"/>
  <c r="S23" i="4"/>
  <c r="S24" i="4" s="1"/>
  <c r="R23" i="4"/>
  <c r="R24" i="4" s="1"/>
  <c r="Q16" i="4"/>
  <c r="Q32" i="4" s="1"/>
  <c r="P16" i="4"/>
  <c r="P32" i="4" s="1"/>
  <c r="O16" i="4"/>
  <c r="O32" i="4" s="1"/>
  <c r="N16" i="4"/>
  <c r="N32" i="4" s="1"/>
  <c r="M16" i="4"/>
  <c r="M32" i="4" s="1"/>
  <c r="L16" i="4"/>
  <c r="L32" i="4" s="1"/>
  <c r="K16" i="4"/>
  <c r="K32" i="4" s="1"/>
  <c r="J16" i="4"/>
  <c r="J32" i="4" s="1"/>
  <c r="I16" i="4"/>
  <c r="I32" i="4" s="1"/>
  <c r="H16" i="4"/>
  <c r="H32" i="4" s="1"/>
  <c r="G16" i="4"/>
  <c r="G32" i="4" s="1"/>
  <c r="F16" i="4"/>
  <c r="E16" i="4"/>
  <c r="D16" i="4"/>
  <c r="V15" i="4"/>
  <c r="U15" i="4"/>
  <c r="U16" i="4" s="1"/>
  <c r="T15" i="4"/>
  <c r="S15" i="4"/>
  <c r="S16" i="4" s="1"/>
  <c r="R15" i="4"/>
  <c r="T29" i="2"/>
  <c r="V30" i="2"/>
  <c r="U30" i="2"/>
  <c r="T30" i="2"/>
  <c r="S30" i="2"/>
  <c r="R30" i="2"/>
  <c r="V29" i="2"/>
  <c r="U29" i="2"/>
  <c r="S29" i="2"/>
  <c r="R29" i="2"/>
  <c r="V28" i="2"/>
  <c r="U28" i="2"/>
  <c r="T28" i="2"/>
  <c r="S28" i="2"/>
  <c r="R28" i="2"/>
  <c r="V27" i="2"/>
  <c r="U27" i="2"/>
  <c r="T27" i="2"/>
  <c r="S27" i="2"/>
  <c r="R27" i="2"/>
  <c r="Q27" i="2"/>
  <c r="P27" i="2"/>
  <c r="O27" i="2"/>
  <c r="N27" i="2"/>
  <c r="M27" i="2"/>
  <c r="L27" i="2"/>
  <c r="K27" i="2"/>
  <c r="J27" i="2"/>
  <c r="I27" i="2"/>
  <c r="H27" i="2"/>
  <c r="G27" i="2"/>
  <c r="T24" i="2"/>
  <c r="S24" i="2"/>
  <c r="R24" i="2"/>
  <c r="V23" i="2"/>
  <c r="V24" i="2" s="1"/>
  <c r="U23" i="2"/>
  <c r="U24" i="2" s="1"/>
  <c r="Q16" i="2"/>
  <c r="Q32" i="2" s="1"/>
  <c r="P16" i="2"/>
  <c r="P32" i="2" s="1"/>
  <c r="O16" i="2"/>
  <c r="O32" i="2" s="1"/>
  <c r="N16" i="2"/>
  <c r="N32" i="2" s="1"/>
  <c r="M16" i="2"/>
  <c r="M32" i="2" s="1"/>
  <c r="L16" i="2"/>
  <c r="L32" i="2" s="1"/>
  <c r="K16" i="2"/>
  <c r="K32" i="2" s="1"/>
  <c r="J16" i="2"/>
  <c r="J32" i="2" s="1"/>
  <c r="I16" i="2"/>
  <c r="I32" i="2" s="1"/>
  <c r="H16" i="2"/>
  <c r="H32" i="2" s="1"/>
  <c r="G16" i="2"/>
  <c r="G32" i="2" s="1"/>
  <c r="F16" i="2"/>
  <c r="E16" i="2"/>
  <c r="D16" i="2"/>
  <c r="V15" i="2"/>
  <c r="U15" i="2"/>
  <c r="U16" i="2" s="1"/>
  <c r="T15" i="2"/>
  <c r="T31" i="2" s="1"/>
  <c r="S15" i="2"/>
  <c r="S16" i="2" s="1"/>
  <c r="R15" i="2"/>
  <c r="R31" i="2" s="1"/>
  <c r="V30" i="3"/>
  <c r="U30" i="3"/>
  <c r="T30" i="3"/>
  <c r="S30" i="3"/>
  <c r="R30" i="3"/>
  <c r="V29" i="3"/>
  <c r="U29" i="3"/>
  <c r="T29" i="3"/>
  <c r="S29" i="3"/>
  <c r="R29" i="3"/>
  <c r="V28" i="3"/>
  <c r="U28" i="3"/>
  <c r="T28" i="3"/>
  <c r="S28" i="3"/>
  <c r="R28" i="3"/>
  <c r="V27" i="3"/>
  <c r="U27" i="3"/>
  <c r="T27" i="3"/>
  <c r="S27" i="3"/>
  <c r="R27" i="3"/>
  <c r="Q27" i="3"/>
  <c r="P27" i="3"/>
  <c r="O27" i="3"/>
  <c r="N27" i="3"/>
  <c r="M27" i="3"/>
  <c r="L27" i="3"/>
  <c r="K27" i="3"/>
  <c r="J27" i="3"/>
  <c r="I27" i="3"/>
  <c r="H27" i="3"/>
  <c r="G27" i="3"/>
  <c r="V23" i="3"/>
  <c r="V24" i="3" s="1"/>
  <c r="U23" i="3"/>
  <c r="T23" i="3"/>
  <c r="T24" i="3" s="1"/>
  <c r="S23" i="3"/>
  <c r="S24" i="3" s="1"/>
  <c r="R23" i="3"/>
  <c r="R24" i="3" s="1"/>
  <c r="Q16" i="3"/>
  <c r="Q32" i="3" s="1"/>
  <c r="P16" i="3"/>
  <c r="P32" i="3" s="1"/>
  <c r="O16" i="3"/>
  <c r="O32" i="3" s="1"/>
  <c r="N16" i="3"/>
  <c r="N32" i="3" s="1"/>
  <c r="M16" i="3"/>
  <c r="M32" i="3" s="1"/>
  <c r="L16" i="3"/>
  <c r="L32" i="3" s="1"/>
  <c r="K16" i="3"/>
  <c r="K32" i="3" s="1"/>
  <c r="J16" i="3"/>
  <c r="J32" i="3" s="1"/>
  <c r="I16" i="3"/>
  <c r="I32" i="3" s="1"/>
  <c r="H16" i="3"/>
  <c r="H32" i="3" s="1"/>
  <c r="G16" i="3"/>
  <c r="G32" i="3" s="1"/>
  <c r="F16" i="3"/>
  <c r="E16" i="3"/>
  <c r="D16" i="3"/>
  <c r="V15" i="3"/>
  <c r="U15" i="3"/>
  <c r="U16" i="3" s="1"/>
  <c r="T15" i="3"/>
  <c r="S15" i="3"/>
  <c r="S16" i="3" s="1"/>
  <c r="R15" i="3"/>
  <c r="R31" i="3" s="1"/>
  <c r="V30" i="1"/>
  <c r="U30" i="1"/>
  <c r="T30" i="1"/>
  <c r="V29" i="1"/>
  <c r="U29" i="1"/>
  <c r="T29" i="1"/>
  <c r="S29" i="1"/>
  <c r="R29" i="1"/>
  <c r="V28" i="1"/>
  <c r="U28" i="1"/>
  <c r="T28" i="1"/>
  <c r="S28" i="1"/>
  <c r="R28" i="1"/>
  <c r="V27" i="1"/>
  <c r="U27" i="1"/>
  <c r="T27" i="1"/>
  <c r="S27" i="1"/>
  <c r="R27" i="1"/>
  <c r="Q27" i="1"/>
  <c r="P27" i="1"/>
  <c r="O27" i="1"/>
  <c r="N27" i="1"/>
  <c r="M27" i="1"/>
  <c r="L27" i="1"/>
  <c r="K27" i="1"/>
  <c r="J27" i="1"/>
  <c r="I27" i="1"/>
  <c r="H27" i="1"/>
  <c r="G27" i="1"/>
  <c r="V23" i="1"/>
  <c r="U23" i="1"/>
  <c r="T23" i="1"/>
  <c r="S23" i="1"/>
  <c r="R23" i="1"/>
  <c r="S22" i="1"/>
  <c r="R22" i="1"/>
  <c r="Q16" i="1"/>
  <c r="Q32" i="1" s="1"/>
  <c r="P16" i="1"/>
  <c r="P32" i="1" s="1"/>
  <c r="O16" i="1"/>
  <c r="O32" i="1" s="1"/>
  <c r="N16" i="1"/>
  <c r="N32" i="1" s="1"/>
  <c r="M16" i="1"/>
  <c r="M32" i="1" s="1"/>
  <c r="L16" i="1"/>
  <c r="L32" i="1" s="1"/>
  <c r="K16" i="1"/>
  <c r="K32" i="1" s="1"/>
  <c r="J16" i="1"/>
  <c r="J32" i="1" s="1"/>
  <c r="I16" i="1"/>
  <c r="I32" i="1" s="1"/>
  <c r="H16" i="1"/>
  <c r="H32" i="1" s="1"/>
  <c r="G16" i="1"/>
  <c r="G32" i="1" s="1"/>
  <c r="F16" i="1"/>
  <c r="E16" i="1"/>
  <c r="D16" i="1"/>
  <c r="V15" i="1"/>
  <c r="U15" i="1"/>
  <c r="T15" i="1"/>
  <c r="S15" i="1"/>
  <c r="R15" i="1"/>
  <c r="S14" i="1"/>
  <c r="R14" i="1"/>
  <c r="T31" i="4" l="1"/>
  <c r="T32" i="4" s="1"/>
  <c r="V31" i="4"/>
  <c r="U31" i="3"/>
  <c r="S31" i="3"/>
  <c r="S32" i="3" s="1"/>
  <c r="V31" i="2"/>
  <c r="V32" i="2" s="1"/>
  <c r="V31" i="3"/>
  <c r="V32" i="3" s="1"/>
  <c r="S31" i="1"/>
  <c r="S15" i="5"/>
  <c r="V24" i="1"/>
  <c r="V23" i="5"/>
  <c r="V24" i="5" s="1"/>
  <c r="U32" i="3"/>
  <c r="T31" i="1"/>
  <c r="T32" i="1" s="1"/>
  <c r="T15" i="5"/>
  <c r="S24" i="1"/>
  <c r="S22" i="5"/>
  <c r="S31" i="4"/>
  <c r="S32" i="4" s="1"/>
  <c r="R31" i="1"/>
  <c r="R15" i="5"/>
  <c r="T31" i="3"/>
  <c r="T32" i="3" s="1"/>
  <c r="R31" i="4"/>
  <c r="R32" i="4" s="1"/>
  <c r="U31" i="4"/>
  <c r="U32" i="4" s="1"/>
  <c r="U24" i="1"/>
  <c r="U23" i="5"/>
  <c r="U24" i="5" s="1"/>
  <c r="U31" i="1"/>
  <c r="U15" i="5"/>
  <c r="R23" i="5"/>
  <c r="R16" i="1"/>
  <c r="R14" i="5"/>
  <c r="V31" i="1"/>
  <c r="V32" i="1" s="1"/>
  <c r="V15" i="5"/>
  <c r="S23" i="5"/>
  <c r="U24" i="3"/>
  <c r="R32" i="3"/>
  <c r="R24" i="1"/>
  <c r="R22" i="5"/>
  <c r="S30" i="1"/>
  <c r="S32" i="1" s="1"/>
  <c r="S14" i="5"/>
  <c r="T24" i="1"/>
  <c r="T23" i="5"/>
  <c r="T24" i="5" s="1"/>
  <c r="G32" i="5"/>
  <c r="I32" i="5"/>
  <c r="K32" i="5"/>
  <c r="M32" i="5"/>
  <c r="O32" i="5"/>
  <c r="Q32" i="5"/>
  <c r="H32" i="5"/>
  <c r="J32" i="5"/>
  <c r="L32" i="5"/>
  <c r="N32" i="5"/>
  <c r="P32" i="5"/>
  <c r="V32" i="4"/>
  <c r="R16" i="4"/>
  <c r="T16" i="4"/>
  <c r="V16" i="4"/>
  <c r="R32" i="2"/>
  <c r="T32" i="2"/>
  <c r="R16" i="2"/>
  <c r="T16" i="2"/>
  <c r="V16" i="2"/>
  <c r="S31" i="2"/>
  <c r="S32" i="2" s="1"/>
  <c r="U31" i="2"/>
  <c r="U32" i="2" s="1"/>
  <c r="R16" i="3"/>
  <c r="T16" i="3"/>
  <c r="V16" i="3"/>
  <c r="U32" i="1"/>
  <c r="S16" i="1"/>
  <c r="U16" i="1"/>
  <c r="R30" i="1"/>
  <c r="T16" i="1"/>
  <c r="V16" i="1"/>
  <c r="Z16" i="1"/>
  <c r="Z31" i="1"/>
  <c r="Z32" i="1" s="1"/>
  <c r="Z15" i="5"/>
  <c r="Z31" i="5" s="1"/>
  <c r="Z32" i="5" s="1"/>
  <c r="R32" i="1" l="1"/>
  <c r="V31" i="5"/>
  <c r="V32" i="5" s="1"/>
  <c r="U16" i="5"/>
  <c r="U31" i="5"/>
  <c r="U32" i="5" s="1"/>
  <c r="S24" i="5"/>
  <c r="R24" i="5"/>
  <c r="S16" i="5"/>
  <c r="S30" i="5"/>
  <c r="R30" i="5"/>
  <c r="R16" i="5"/>
  <c r="R31" i="5"/>
  <c r="T16" i="5"/>
  <c r="T31" i="5"/>
  <c r="T32" i="5" s="1"/>
  <c r="S31" i="5"/>
  <c r="V16" i="5"/>
  <c r="Z16" i="5"/>
  <c r="S32" i="5" l="1"/>
  <c r="R32" i="5"/>
  <c r="AB30" i="3"/>
  <c r="AB32" i="3" s="1"/>
  <c r="AB16" i="3"/>
  <c r="Y16" i="1"/>
  <c r="Y30" i="1"/>
  <c r="Y32" i="1" s="1"/>
  <c r="AC15" i="5" l="1"/>
  <c r="AC31" i="5" s="1"/>
  <c r="AC16" i="3"/>
  <c r="AC32" i="3"/>
  <c r="AC14" i="5"/>
  <c r="AC16" i="2"/>
  <c r="AC30" i="2"/>
  <c r="AC32" i="2" s="1"/>
  <c r="AC16" i="5" l="1"/>
  <c r="AC30" i="5"/>
  <c r="AC32" i="5" s="1"/>
</calcChain>
</file>

<file path=xl/sharedStrings.xml><?xml version="1.0" encoding="utf-8"?>
<sst xmlns="http://schemas.openxmlformats.org/spreadsheetml/2006/main" count="321" uniqueCount="55">
  <si>
    <t>TABLE 4.21</t>
  </si>
  <si>
    <t>NSF RESEARCH &amp; DEVELOPMENT EXPENDITURES</t>
  </si>
  <si>
    <t>UNIVERSITY OF MISSOURI-COLUMBIA</t>
  </si>
  <si>
    <t>(in thousands)</t>
  </si>
  <si>
    <t>FY 1996</t>
  </si>
  <si>
    <t>FY 1997</t>
  </si>
  <si>
    <t>FY 1998</t>
  </si>
  <si>
    <t>FY 1999</t>
  </si>
  <si>
    <t>FY 2000</t>
  </si>
  <si>
    <t>FY 2001</t>
  </si>
  <si>
    <t>FY 2002</t>
  </si>
  <si>
    <t>FY 2003</t>
  </si>
  <si>
    <t>FY 2004</t>
  </si>
  <si>
    <t>FY 2005</t>
  </si>
  <si>
    <t>FY 2006</t>
  </si>
  <si>
    <t>FY 2007</t>
  </si>
  <si>
    <t>FY 2008</t>
  </si>
  <si>
    <t>FY 2009</t>
  </si>
  <si>
    <t>FY 2010</t>
  </si>
  <si>
    <t>FY 2011</t>
  </si>
  <si>
    <t>FY 2012</t>
  </si>
  <si>
    <t>FY 2013</t>
  </si>
  <si>
    <t>FY 2014</t>
  </si>
  <si>
    <t>SCIENCE &amp; ENGINEERING</t>
  </si>
  <si>
    <t>Federal</t>
  </si>
  <si>
    <t>State &amp; Local</t>
  </si>
  <si>
    <t>Industry/Business</t>
  </si>
  <si>
    <t>Institutional Funds*</t>
  </si>
  <si>
    <t>Nonprofits &amp; All Others</t>
  </si>
  <si>
    <t>NON-SCIENCE &amp; ENGINEERING</t>
  </si>
  <si>
    <t>GRAND TOTAL</t>
  </si>
  <si>
    <t>Institutional Funds</t>
  </si>
  <si>
    <t>*UM-Columbia’s FY 2010 and FY 2011 institutional expenditures are based on an estimated calculation since their NSF survey only reports institutional S&amp;E and non-S&amp;E amounts combined together and cannot be segregated.  Columbia’s S&amp;E estimate is based on 95% of total institutional expenditures (S&amp;E and non-S&amp;E).  The 95% is based on a 3-year average of what proportion S&amp;E had accounted for total institutional expenditures in FY07, FY08, and FY09.  Non-S&amp;E estimate is based on the remaining 5%.  Grand Total shown is the actual total amount reported to NSF.</t>
  </si>
  <si>
    <t xml:space="preserve">            Non-Science &amp; Engineering includes communication, journalism, library science, education, law,</t>
  </si>
  <si>
    <t xml:space="preserve">            humanities, visual &amp; performing arts, business &amp; management, and social work.</t>
  </si>
  <si>
    <t xml:space="preserve">            Prior to FY 2010, NSF collected non-S&amp;E expeditures only by Federal and Total amounts.</t>
  </si>
  <si>
    <t>Source: National Science Foundation (NSF) Survey</t>
  </si>
  <si>
    <t>UNIVERSITY OF MISSOURI-KANSAS CITY</t>
  </si>
  <si>
    <t>MISSOURI UNIVERSITY OF SCIENCE AND TECHNOLOGY</t>
  </si>
  <si>
    <t>UNIVERSITY OF MISSOURI-ST. LOUIS</t>
  </si>
  <si>
    <t>UNIVERSITY OF MISSOURI SYSTEM</t>
  </si>
  <si>
    <t>Notes: Science &amp; Engineering (S&amp;E) includes engineering, physical sciences, environmental sciences, math,</t>
  </si>
  <si>
    <t xml:space="preserve">            computer science, life sciences, psychology, and social sciences.   </t>
  </si>
  <si>
    <t>UNIVERSITY OF MISSOURI-SYSTEM ADMINISTRATION</t>
  </si>
  <si>
    <t>FY 2015</t>
  </si>
  <si>
    <t>FY 2016</t>
  </si>
  <si>
    <t>FY 2017</t>
  </si>
  <si>
    <t>FY 2018</t>
  </si>
  <si>
    <t>FY 2019</t>
  </si>
  <si>
    <t>FY 2020</t>
  </si>
  <si>
    <t>FY 2021</t>
  </si>
  <si>
    <t>FY 2022</t>
  </si>
  <si>
    <t>UM-IR 4/23</t>
  </si>
  <si>
    <t>FY 2023</t>
  </si>
  <si>
    <t>UM-IR 3/24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</si>
</sst>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Arial"/>
    </font>
  </fonts>
  <fills count="7">
    <fill>
      <patternFill patternType="none"/>
    </fill>
    <fill>
      <patternFill patternType="gray125"/>
    </fill>
    <fill>
      <patternFill patternType="solid">
        <fgColor rgb="FFEAEAEA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FFCC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47">
    <xf numFmtId="0" fontId="0" fillId="0" borderId="0" xfId="0"/>
    <xf numFmtId="0" fontId="3" fillId="0" borderId="0" xfId="0" applyFont="1"/>
    <xf numFmtId="0" fontId="3" fillId="0" borderId="4" xfId="0" applyFont="1" applyBorder="1"/>
    <xf numFmtId="0" fontId="4" fillId="0" borderId="5" xfId="0" applyFont="1" applyBorder="1" applyAlignment="1">
      <alignment horizontal="center"/>
    </xf>
    <xf numFmtId="0" fontId="3" fillId="0" borderId="6" xfId="0" applyFont="1" applyBorder="1"/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center"/>
    </xf>
    <xf numFmtId="0" fontId="1" fillId="0" borderId="0" xfId="0" applyFont="1"/>
    <xf numFmtId="0" fontId="4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7" xfId="0" applyFont="1" applyBorder="1"/>
    <xf numFmtId="0" fontId="3" fillId="0" borderId="8" xfId="0" applyFont="1" applyBorder="1"/>
    <xf numFmtId="0" fontId="3" fillId="0" borderId="8" xfId="0" applyFont="1" applyBorder="1" applyAlignment="1">
      <alignment horizontal="right"/>
    </xf>
    <xf numFmtId="0" fontId="3" fillId="0" borderId="0" xfId="0" applyFont="1" applyAlignment="1">
      <alignment horizontal="right"/>
    </xf>
    <xf numFmtId="0" fontId="4" fillId="2" borderId="0" xfId="0" applyFont="1" applyFill="1" applyAlignment="1">
      <alignment vertical="center"/>
    </xf>
    <xf numFmtId="0" fontId="4" fillId="2" borderId="0" xfId="0" applyFont="1" applyFill="1"/>
    <xf numFmtId="0" fontId="4" fillId="0" borderId="6" xfId="0" applyFont="1" applyBorder="1"/>
    <xf numFmtId="1" fontId="4" fillId="0" borderId="0" xfId="0" applyNumberFormat="1" applyFont="1"/>
    <xf numFmtId="164" fontId="3" fillId="0" borderId="0" xfId="0" applyNumberFormat="1" applyFont="1"/>
    <xf numFmtId="3" fontId="3" fillId="0" borderId="0" xfId="0" applyNumberFormat="1" applyFont="1"/>
    <xf numFmtId="3" fontId="3" fillId="0" borderId="5" xfId="0" applyNumberFormat="1" applyFont="1" applyBorder="1"/>
    <xf numFmtId="0" fontId="3" fillId="0" borderId="5" xfId="0" applyFont="1" applyBorder="1"/>
    <xf numFmtId="0" fontId="3" fillId="0" borderId="0" xfId="0" applyFont="1" applyAlignment="1">
      <alignment wrapText="1"/>
    </xf>
    <xf numFmtId="0" fontId="3" fillId="0" borderId="0" xfId="0" applyFont="1" applyAlignment="1">
      <alignment horizontal="left"/>
    </xf>
    <xf numFmtId="0" fontId="3" fillId="0" borderId="9" xfId="0" applyFont="1" applyBorder="1"/>
    <xf numFmtId="0" fontId="3" fillId="0" borderId="5" xfId="0" applyFont="1" applyBorder="1" applyAlignment="1">
      <alignment horizontal="right"/>
    </xf>
    <xf numFmtId="0" fontId="3" fillId="0" borderId="10" xfId="0" applyFont="1" applyBorder="1"/>
    <xf numFmtId="0" fontId="4" fillId="3" borderId="0" xfId="0" applyFont="1" applyFill="1" applyAlignment="1">
      <alignment vertical="center"/>
    </xf>
    <xf numFmtId="0" fontId="4" fillId="3" borderId="0" xfId="0" applyFont="1" applyFill="1"/>
    <xf numFmtId="0" fontId="4" fillId="4" borderId="0" xfId="0" applyFont="1" applyFill="1" applyAlignment="1">
      <alignment vertical="center"/>
    </xf>
    <xf numFmtId="0" fontId="4" fillId="4" borderId="0" xfId="0" applyFont="1" applyFill="1"/>
    <xf numFmtId="0" fontId="4" fillId="5" borderId="0" xfId="0" applyFont="1" applyFill="1" applyAlignment="1">
      <alignment vertical="center"/>
    </xf>
    <xf numFmtId="0" fontId="4" fillId="5" borderId="0" xfId="0" applyFont="1" applyFill="1"/>
    <xf numFmtId="0" fontId="4" fillId="6" borderId="0" xfId="0" applyFont="1" applyFill="1" applyAlignment="1">
      <alignment vertical="center"/>
    </xf>
    <xf numFmtId="0" fontId="4" fillId="6" borderId="0" xfId="0" applyFont="1" applyFill="1"/>
    <xf numFmtId="0" fontId="1" fillId="0" borderId="0" xfId="1" applyFont="1"/>
    <xf numFmtId="0" fontId="1" fillId="0" borderId="1" xfId="0" applyFont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3" fillId="0" borderId="7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3" fillId="0" borderId="2" xfId="0" applyFont="1" applyBorder="1" applyAlignment="1">
      <alignment wrapText="1"/>
    </xf>
    <xf numFmtId="0" fontId="0" fillId="0" borderId="2" xfId="0" applyBorder="1" applyAlignment="1">
      <alignment wrapText="1"/>
    </xf>
    <xf numFmtId="0" fontId="0" fillId="0" borderId="0" xfId="0" applyAlignment="1">
      <alignment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mruColors>
      <color rgb="FFFFFFCC"/>
      <color rgb="FFEAEAEA"/>
      <color rgb="FFCCECFF"/>
      <color rgb="FFCCFFCC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N49"/>
  <sheetViews>
    <sheetView tabSelected="1" workbookViewId="0"/>
  </sheetViews>
  <sheetFormatPr defaultColWidth="9.140625" defaultRowHeight="13.5" customHeight="1" x14ac:dyDescent="0.2"/>
  <cols>
    <col min="1" max="2" width="2.7109375" style="1" customWidth="1"/>
    <col min="3" max="3" width="19.7109375" style="1" bestFit="1" customWidth="1"/>
    <col min="4" max="25" width="10.7109375" style="1" hidden="1" customWidth="1"/>
    <col min="26" max="31" width="10.7109375" style="1" customWidth="1"/>
    <col min="32" max="32" width="2.7109375" style="1" customWidth="1"/>
    <col min="33" max="16384" width="9.140625" style="1"/>
  </cols>
  <sheetData>
    <row r="2" spans="1:40" ht="15" customHeight="1" x14ac:dyDescent="0.25">
      <c r="A2" s="39" t="s">
        <v>0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1"/>
    </row>
    <row r="3" spans="1:40" ht="13.5" customHeight="1" x14ac:dyDescent="0.2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4"/>
    </row>
    <row r="4" spans="1:40" ht="15" customHeight="1" x14ac:dyDescent="0.2">
      <c r="A4" s="2"/>
      <c r="B4" s="5" t="s">
        <v>1</v>
      </c>
      <c r="C4" s="6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8"/>
    </row>
    <row r="5" spans="1:40" ht="15" customHeight="1" x14ac:dyDescent="0.25">
      <c r="A5" s="2"/>
      <c r="B5" s="9" t="s">
        <v>40</v>
      </c>
      <c r="C5" s="10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8"/>
    </row>
    <row r="6" spans="1:40" ht="13.5" customHeight="1" x14ac:dyDescent="0.2">
      <c r="A6" s="2"/>
      <c r="B6" s="11"/>
      <c r="C6" s="11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8"/>
    </row>
    <row r="7" spans="1:40" ht="13.5" customHeight="1" thickBot="1" x14ac:dyDescent="0.25">
      <c r="A7" s="2"/>
      <c r="B7" s="13"/>
      <c r="C7" s="13"/>
      <c r="D7" s="42" t="s">
        <v>3</v>
      </c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43"/>
      <c r="W7" s="43"/>
      <c r="X7" s="43"/>
      <c r="Y7" s="43"/>
      <c r="Z7" s="43"/>
      <c r="AA7" s="43"/>
      <c r="AB7" s="43"/>
      <c r="AC7" s="43"/>
      <c r="AD7" s="43"/>
      <c r="AE7" s="43"/>
      <c r="AF7" s="4"/>
    </row>
    <row r="8" spans="1:40" ht="13.5" customHeight="1" thickTop="1" x14ac:dyDescent="0.2">
      <c r="A8" s="2"/>
      <c r="B8" s="14"/>
      <c r="C8" s="14"/>
      <c r="D8" s="15" t="s">
        <v>4</v>
      </c>
      <c r="E8" s="15" t="s">
        <v>5</v>
      </c>
      <c r="F8" s="15" t="s">
        <v>6</v>
      </c>
      <c r="G8" s="15" t="s">
        <v>7</v>
      </c>
      <c r="H8" s="15" t="s">
        <v>8</v>
      </c>
      <c r="I8" s="15" t="s">
        <v>9</v>
      </c>
      <c r="J8" s="15" t="s">
        <v>10</v>
      </c>
      <c r="K8" s="15" t="s">
        <v>11</v>
      </c>
      <c r="L8" s="15" t="s">
        <v>12</v>
      </c>
      <c r="M8" s="15" t="s">
        <v>13</v>
      </c>
      <c r="N8" s="15" t="s">
        <v>14</v>
      </c>
      <c r="O8" s="15" t="s">
        <v>15</v>
      </c>
      <c r="P8" s="15" t="s">
        <v>16</v>
      </c>
      <c r="Q8" s="15" t="s">
        <v>17</v>
      </c>
      <c r="R8" s="15" t="s">
        <v>18</v>
      </c>
      <c r="S8" s="15" t="s">
        <v>19</v>
      </c>
      <c r="T8" s="15" t="s">
        <v>20</v>
      </c>
      <c r="U8" s="15" t="s">
        <v>21</v>
      </c>
      <c r="V8" s="15" t="s">
        <v>22</v>
      </c>
      <c r="W8" s="15" t="s">
        <v>44</v>
      </c>
      <c r="X8" s="15" t="s">
        <v>45</v>
      </c>
      <c r="Y8" s="15" t="s">
        <v>46</v>
      </c>
      <c r="Z8" s="15" t="s">
        <v>47</v>
      </c>
      <c r="AA8" s="15" t="s">
        <v>48</v>
      </c>
      <c r="AB8" s="15" t="s">
        <v>49</v>
      </c>
      <c r="AC8" s="15" t="s">
        <v>50</v>
      </c>
      <c r="AD8" s="15" t="s">
        <v>51</v>
      </c>
      <c r="AE8" s="15" t="s">
        <v>53</v>
      </c>
      <c r="AF8" s="4"/>
    </row>
    <row r="9" spans="1:40" ht="13.5" customHeight="1" x14ac:dyDescent="0.2">
      <c r="A9" s="2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4"/>
    </row>
    <row r="10" spans="1:40" ht="13.5" customHeight="1" x14ac:dyDescent="0.2">
      <c r="A10" s="2"/>
      <c r="B10" s="36" t="s">
        <v>23</v>
      </c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  <c r="AF10" s="19"/>
      <c r="AG10" s="10"/>
      <c r="AH10" s="20"/>
      <c r="AI10" s="20"/>
      <c r="AJ10" s="20"/>
      <c r="AK10" s="20"/>
      <c r="AL10" s="20"/>
      <c r="AM10" s="20"/>
      <c r="AN10" s="20"/>
    </row>
    <row r="11" spans="1:40" ht="13.5" customHeight="1" x14ac:dyDescent="0.2">
      <c r="A11" s="2"/>
      <c r="C11" s="1" t="s">
        <v>24</v>
      </c>
      <c r="D11" s="21">
        <f>MU!D11+UMKC!D11+'S&amp;T'!D11+UMSL!D11+UMSa!D11</f>
        <v>54916</v>
      </c>
      <c r="E11" s="21">
        <f>MU!E11+UMKC!E11+'S&amp;T'!E11+UMSL!E11+UMSa!E11</f>
        <v>60445</v>
      </c>
      <c r="F11" s="21">
        <f>MU!F11+UMKC!F11+'S&amp;T'!F11+UMSL!F11+UMSa!F11</f>
        <v>63556</v>
      </c>
      <c r="G11" s="21">
        <f>MU!G11+UMKC!G11+'S&amp;T'!G11+UMSL!G11+UMSa!G11</f>
        <v>74653</v>
      </c>
      <c r="H11" s="21">
        <f>MU!H11+UMKC!H11+'S&amp;T'!H11+UMSL!H11+UMSa!H11</f>
        <v>87237</v>
      </c>
      <c r="I11" s="21">
        <f>MU!I11+UMKC!I11+'S&amp;T'!I11+UMSL!I11+UMSa!I11</f>
        <v>92861</v>
      </c>
      <c r="J11" s="21">
        <f>MU!J11+UMKC!J11+'S&amp;T'!J11+UMSL!J11</f>
        <v>109042</v>
      </c>
      <c r="K11" s="21">
        <f>MU!K11+UMKC!K11+'S&amp;T'!K11+UMSL!K11</f>
        <v>121563</v>
      </c>
      <c r="L11" s="21">
        <f>MU!L11+UMKC!L11+'S&amp;T'!L11+UMSL!L11</f>
        <v>130836</v>
      </c>
      <c r="M11" s="21">
        <f>MU!M11+UMKC!M11+'S&amp;T'!M11+UMSL!M11</f>
        <v>139240</v>
      </c>
      <c r="N11" s="21">
        <f>MU!N11+UMKC!N11+'S&amp;T'!N11+UMSL!N11</f>
        <v>145094</v>
      </c>
      <c r="O11" s="21">
        <f>MU!O11+UMKC!O11+'S&amp;T'!O11+UMSL!O11</f>
        <v>147366</v>
      </c>
      <c r="P11" s="21">
        <f>MU!P11+UMKC!P11+'S&amp;T'!P11+UMSL!P11</f>
        <v>152673</v>
      </c>
      <c r="Q11" s="21">
        <f>MU!Q11+UMKC!Q11+'S&amp;T'!Q11+UMSL!Q11</f>
        <v>164366</v>
      </c>
      <c r="R11" s="21">
        <f>MU!R11+UMKC!R11+'S&amp;T'!R11+UMSL!R11</f>
        <v>163626</v>
      </c>
      <c r="S11" s="21">
        <f>MU!S11+UMKC!S11+'S&amp;T'!S11+UMSL!S11</f>
        <v>167995</v>
      </c>
      <c r="T11" s="21">
        <f>MU!T11+UMKC!T11+'S&amp;T'!T11+UMSL!T11</f>
        <v>159386</v>
      </c>
      <c r="U11" s="21">
        <f>MU!U11+UMKC!U11+'S&amp;T'!U11+UMSL!U11</f>
        <v>156083</v>
      </c>
      <c r="V11" s="21">
        <f>MU!V11+UMKC!V11+'S&amp;T'!V11+UMSL!V11</f>
        <v>144164</v>
      </c>
      <c r="W11" s="21">
        <f>MU!W11+UMKC!W11+'S&amp;T'!W11+UMSL!W11</f>
        <v>136952</v>
      </c>
      <c r="X11" s="21">
        <f>MU!X11+UMKC!X11+'S&amp;T'!X11+UMSL!X11</f>
        <v>152230</v>
      </c>
      <c r="Y11" s="21">
        <f>MU!Y11+UMKC!Y11+'S&amp;T'!Y11+UMSL!Y11</f>
        <v>158210</v>
      </c>
      <c r="Z11" s="21">
        <f>MU!Z11+UMKC!Z11+'S&amp;T'!Z11+UMSL!Z11</f>
        <v>164039</v>
      </c>
      <c r="AA11" s="21">
        <f>MU!AA11+UMKC!AA11+'S&amp;T'!AA11+UMSL!AA11</f>
        <v>175789</v>
      </c>
      <c r="AB11" s="21">
        <f>MU!AB11+UMKC!AB11+'S&amp;T'!AB11+UMSL!AB11</f>
        <v>187643</v>
      </c>
      <c r="AC11" s="21">
        <f>MU!AC11+UMKC!AC11+'S&amp;T'!AC11+UMSL!AC11</f>
        <v>197317</v>
      </c>
      <c r="AD11" s="21">
        <f>MU!AD11+UMKC!AD11+'S&amp;T'!AD11+UMSL!AD11</f>
        <v>225345</v>
      </c>
      <c r="AE11" s="21">
        <f>MU!AE11+UMKC!AE11+'S&amp;T'!AE11+UMSL!AE11</f>
        <v>252173</v>
      </c>
      <c r="AF11" s="4"/>
    </row>
    <row r="12" spans="1:40" ht="13.5" customHeight="1" x14ac:dyDescent="0.2">
      <c r="A12" s="2"/>
      <c r="C12" s="1" t="s">
        <v>25</v>
      </c>
      <c r="D12" s="22">
        <f>MU!D12+UMKC!D12+'S&amp;T'!D12+UMSL!D12+UMSa!D12</f>
        <v>16682</v>
      </c>
      <c r="E12" s="22">
        <f>MU!E12+UMKC!E12+'S&amp;T'!E12+UMSL!E12+UMSa!E12</f>
        <v>16921</v>
      </c>
      <c r="F12" s="22">
        <f>MU!F12+UMKC!F12+'S&amp;T'!F12+UMSL!F12+UMSa!F12</f>
        <v>17718</v>
      </c>
      <c r="G12" s="22">
        <f>MU!G12+UMKC!G12+'S&amp;T'!G12+UMSL!G12+UMSa!G12</f>
        <v>17948</v>
      </c>
      <c r="H12" s="22">
        <f>MU!H12+UMKC!H12+'S&amp;T'!H12+UMSL!H12+UMSa!H12</f>
        <v>18323</v>
      </c>
      <c r="I12" s="22">
        <f>MU!I12+UMKC!I12+'S&amp;T'!I12+UMSL!I12+UMSa!I12</f>
        <v>17160</v>
      </c>
      <c r="J12" s="22">
        <f>MU!J12+UMKC!J12+'S&amp;T'!J12+UMSL!J12</f>
        <v>17577</v>
      </c>
      <c r="K12" s="22">
        <f>MU!K12+UMKC!K12+'S&amp;T'!K12+UMSL!K12</f>
        <v>22192</v>
      </c>
      <c r="L12" s="22">
        <f>MU!L12+UMKC!L12+'S&amp;T'!L12+UMSL!L12</f>
        <v>23121</v>
      </c>
      <c r="M12" s="22">
        <f>MU!M12+UMKC!M12+'S&amp;T'!M12+UMSL!M12</f>
        <v>26622</v>
      </c>
      <c r="N12" s="22">
        <f>MU!N12+UMKC!N12+'S&amp;T'!N12+UMSL!N12</f>
        <v>16938</v>
      </c>
      <c r="O12" s="22">
        <f>MU!O12+UMKC!O12+'S&amp;T'!O12+UMSL!O12</f>
        <v>18830</v>
      </c>
      <c r="P12" s="22">
        <f>MU!P12+UMKC!P12+'S&amp;T'!P12+UMSL!P12</f>
        <v>15825</v>
      </c>
      <c r="Q12" s="22">
        <f>MU!Q12+UMKC!Q12+'S&amp;T'!Q12+UMSL!Q12</f>
        <v>22485</v>
      </c>
      <c r="R12" s="22">
        <f>MU!R12+UMKC!R12+'S&amp;T'!R12+UMSL!R12</f>
        <v>5490</v>
      </c>
      <c r="S12" s="22">
        <f>MU!S12+UMKC!S12+'S&amp;T'!S12+UMSL!S12</f>
        <v>4499</v>
      </c>
      <c r="T12" s="22">
        <f>MU!T12+UMKC!T12+'S&amp;T'!T12+UMSL!T12</f>
        <v>3941</v>
      </c>
      <c r="U12" s="22">
        <f>MU!U12+UMKC!U12+'S&amp;T'!U12+UMSL!U12</f>
        <v>3328</v>
      </c>
      <c r="V12" s="22">
        <f>MU!V12+UMKC!V12+'S&amp;T'!V12+UMSL!V12</f>
        <v>2399</v>
      </c>
      <c r="W12" s="22">
        <f>MU!W12+UMKC!W12+'S&amp;T'!W12+UMSL!W12</f>
        <v>2484</v>
      </c>
      <c r="X12" s="22">
        <f>MU!X12+UMKC!X12+'S&amp;T'!X12+UMSL!X12</f>
        <v>16699</v>
      </c>
      <c r="Y12" s="22">
        <f>MU!Y12+UMKC!Y12+'S&amp;T'!Y12+UMSL!Y12</f>
        <v>14807</v>
      </c>
      <c r="Z12" s="22">
        <f>MU!Z12+UMKC!Z12+'S&amp;T'!Z12+UMSL!Z12</f>
        <v>16274</v>
      </c>
      <c r="AA12" s="22">
        <f>MU!AA12+UMKC!AA12+'S&amp;T'!AA12+UMSL!AA12</f>
        <v>18500</v>
      </c>
      <c r="AB12" s="22">
        <f>MU!AB12+UMKC!AB12+'S&amp;T'!AB12+UMSL!AB12</f>
        <v>23664</v>
      </c>
      <c r="AC12" s="22">
        <f>MU!AC12+UMKC!AC12+'S&amp;T'!AC12+UMSL!AC12</f>
        <v>39882</v>
      </c>
      <c r="AD12" s="22">
        <f>MU!AD12+UMKC!AD12+'S&amp;T'!AD12+UMSL!AD12</f>
        <v>35444</v>
      </c>
      <c r="AE12" s="22">
        <f>MU!AE12+UMKC!AE12+'S&amp;T'!AE12+UMSL!AE12</f>
        <v>58796</v>
      </c>
      <c r="AF12" s="4"/>
    </row>
    <row r="13" spans="1:40" ht="13.5" customHeight="1" x14ac:dyDescent="0.2">
      <c r="A13" s="2"/>
      <c r="C13" s="1" t="s">
        <v>26</v>
      </c>
      <c r="D13" s="22">
        <f>MU!D13+UMKC!D13+'S&amp;T'!D13+UMSL!D13+UMSa!D13</f>
        <v>5867</v>
      </c>
      <c r="E13" s="22">
        <f>MU!E13+UMKC!E13+'S&amp;T'!E13+UMSL!E13+UMSa!E13</f>
        <v>5974</v>
      </c>
      <c r="F13" s="22">
        <f>MU!F13+UMKC!F13+'S&amp;T'!F13+UMSL!F13+UMSa!F13</f>
        <v>6487</v>
      </c>
      <c r="G13" s="22">
        <f>MU!G13+UMKC!G13+'S&amp;T'!G13+UMSL!G13+UMSa!G13</f>
        <v>6723</v>
      </c>
      <c r="H13" s="22">
        <f>MU!H13+UMKC!H13+'S&amp;T'!H13+UMSL!H13+UMSa!H13</f>
        <v>7671</v>
      </c>
      <c r="I13" s="22">
        <f>MU!I13+UMKC!I13+'S&amp;T'!I13+UMSL!I13+UMSa!I13</f>
        <v>9802</v>
      </c>
      <c r="J13" s="22">
        <f>MU!J13+UMKC!J13+'S&amp;T'!J13+UMSL!J13</f>
        <v>10900</v>
      </c>
      <c r="K13" s="22">
        <f>MU!K13+UMKC!K13+'S&amp;T'!K13+UMSL!K13</f>
        <v>9861</v>
      </c>
      <c r="L13" s="22">
        <f>MU!L13+UMKC!L13+'S&amp;T'!L13+UMSL!L13</f>
        <v>11957</v>
      </c>
      <c r="M13" s="22">
        <f>MU!M13+UMKC!M13+'S&amp;T'!M13+UMSL!M13</f>
        <v>8370</v>
      </c>
      <c r="N13" s="22">
        <f>MU!N13+UMKC!N13+'S&amp;T'!N13+UMSL!N13</f>
        <v>6191</v>
      </c>
      <c r="O13" s="22">
        <f>MU!O13+UMKC!O13+'S&amp;T'!O13+UMSL!O13</f>
        <v>3802</v>
      </c>
      <c r="P13" s="22">
        <f>MU!P13+UMKC!P13+'S&amp;T'!P13+UMSL!P13</f>
        <v>5618</v>
      </c>
      <c r="Q13" s="22">
        <f>MU!Q13+UMKC!Q13+'S&amp;T'!Q13+UMSL!Q13</f>
        <v>9038</v>
      </c>
      <c r="R13" s="22">
        <f>MU!R13+UMKC!R13+'S&amp;T'!R13+UMSL!R13</f>
        <v>11265</v>
      </c>
      <c r="S13" s="22">
        <f>MU!S13+UMKC!S13+'S&amp;T'!S13+UMSL!S13</f>
        <v>10399</v>
      </c>
      <c r="T13" s="22">
        <f>MU!T13+UMKC!T13+'S&amp;T'!T13+UMSL!T13</f>
        <v>11641</v>
      </c>
      <c r="U13" s="22">
        <f>MU!U13+UMKC!U13+'S&amp;T'!U13+UMSL!U13</f>
        <v>12515</v>
      </c>
      <c r="V13" s="22">
        <f>MU!V13+UMKC!V13+'S&amp;T'!V13+UMSL!V13</f>
        <v>11785</v>
      </c>
      <c r="W13" s="22">
        <f>MU!W13+UMKC!W13+'S&amp;T'!W13+UMSL!W13</f>
        <v>11472</v>
      </c>
      <c r="X13" s="22">
        <f>MU!X13+UMKC!X13+'S&amp;T'!X13+UMSL!X13</f>
        <v>13948</v>
      </c>
      <c r="Y13" s="22">
        <f>MU!Y13+UMKC!Y13+'S&amp;T'!Y13+UMSL!Y13</f>
        <v>16608</v>
      </c>
      <c r="Z13" s="22">
        <f>MU!Z13+UMKC!Z13+'S&amp;T'!Z13+UMSL!Z13</f>
        <v>16887</v>
      </c>
      <c r="AA13" s="22">
        <f>MU!AA13+UMKC!AA13+'S&amp;T'!AA13+UMSL!AA13</f>
        <v>20155</v>
      </c>
      <c r="AB13" s="22">
        <f>MU!AB13+UMKC!AB13+'S&amp;T'!AB13+UMSL!AB13</f>
        <v>19767</v>
      </c>
      <c r="AC13" s="22">
        <f>MU!AC13+UMKC!AC13+'S&amp;T'!AC13+UMSL!AC13</f>
        <v>18972</v>
      </c>
      <c r="AD13" s="22">
        <f>MU!AD13+UMKC!AD13+'S&amp;T'!AD13+UMSL!AD13</f>
        <v>22506</v>
      </c>
      <c r="AE13" s="22">
        <f>MU!AE13+UMKC!AE13+'S&amp;T'!AE13+UMSL!AE13</f>
        <v>20365</v>
      </c>
      <c r="AF13" s="4"/>
    </row>
    <row r="14" spans="1:40" ht="13.5" customHeight="1" x14ac:dyDescent="0.2">
      <c r="A14" s="2"/>
      <c r="C14" s="1" t="s">
        <v>27</v>
      </c>
      <c r="D14" s="22">
        <f>MU!D14+UMKC!D14+'S&amp;T'!D14+UMSL!D14+UMSa!D14</f>
        <v>73628</v>
      </c>
      <c r="E14" s="22">
        <f>MU!E14+UMKC!E14+'S&amp;T'!E14+UMSL!E14+UMSa!E14</f>
        <v>80401</v>
      </c>
      <c r="F14" s="22">
        <f>MU!F14+UMKC!F14+'S&amp;T'!F14+UMSL!F14+UMSa!F14</f>
        <v>84196</v>
      </c>
      <c r="G14" s="22">
        <f>MU!G14+UMKC!G14+'S&amp;T'!G14+UMSL!G14+UMSa!G14</f>
        <v>90871</v>
      </c>
      <c r="H14" s="22">
        <f>MU!H14+UMKC!H14+'S&amp;T'!H14+UMSL!H14+UMSa!H14</f>
        <v>88172</v>
      </c>
      <c r="I14" s="22">
        <f>MU!I14+UMKC!I14+'S&amp;T'!I14+UMSL!I14+UMSa!I14</f>
        <v>103362</v>
      </c>
      <c r="J14" s="22">
        <f>MU!J14+UMKC!J14+'S&amp;T'!J14+UMSL!J14</f>
        <v>99541</v>
      </c>
      <c r="K14" s="22">
        <f>MU!K14+UMKC!K14+'S&amp;T'!K14+UMSL!K14</f>
        <v>122153</v>
      </c>
      <c r="L14" s="22">
        <f>MU!L14+UMKC!L14+'S&amp;T'!L14+UMSL!L14</f>
        <v>129240</v>
      </c>
      <c r="M14" s="22">
        <f>MU!M14+UMKC!M14+'S&amp;T'!M14+UMSL!M14</f>
        <v>118538</v>
      </c>
      <c r="N14" s="22">
        <f>MU!N14+UMKC!N14+'S&amp;T'!N14+UMSL!N14</f>
        <v>115121</v>
      </c>
      <c r="O14" s="22">
        <f>MU!O14+UMKC!O14+'S&amp;T'!O14+UMSL!O14</f>
        <v>115253</v>
      </c>
      <c r="P14" s="22">
        <f>MU!P14+UMKC!P14+'S&amp;T'!P14+UMSL!P14</f>
        <v>131858</v>
      </c>
      <c r="Q14" s="22">
        <f>MU!Q14+UMKC!Q14+'S&amp;T'!Q14+UMSL!Q14</f>
        <v>112941</v>
      </c>
      <c r="R14" s="22">
        <f>MU!R14+UMKC!R14+'S&amp;T'!R14+UMSL!R14</f>
        <v>108907.9</v>
      </c>
      <c r="S14" s="22">
        <f>MU!S14+UMKC!S14+'S&amp;T'!S14+UMSL!S14</f>
        <v>105105.84999999999</v>
      </c>
      <c r="T14" s="22">
        <f>MU!T14+UMKC!T14+'S&amp;T'!T14+UMSL!T14</f>
        <v>119350</v>
      </c>
      <c r="U14" s="22">
        <f>MU!U14+UMKC!U14+'S&amp;T'!U14+UMSL!U14</f>
        <v>117163</v>
      </c>
      <c r="V14" s="22">
        <f>MU!V14+UMKC!V14+'S&amp;T'!V14+UMSL!V14</f>
        <v>133832</v>
      </c>
      <c r="W14" s="22">
        <f>MU!W14+UMKC!W14+'S&amp;T'!W14+UMSL!W14</f>
        <v>141020</v>
      </c>
      <c r="X14" s="22">
        <f>MU!X14+UMKC!X14+'S&amp;T'!X14+UMSL!X14</f>
        <v>127643</v>
      </c>
      <c r="Y14" s="22">
        <f>MU!Y14+UMKC!Y14+'S&amp;T'!Y14+UMSL!Y14</f>
        <v>134206</v>
      </c>
      <c r="Z14" s="22">
        <f>MU!Z14+UMKC!Z14+'S&amp;T'!Z14+UMSL!Z14</f>
        <v>137814</v>
      </c>
      <c r="AA14" s="22">
        <f>MU!AA14+UMKC!AA14+'S&amp;T'!AA14+UMSL!AA14</f>
        <v>146621</v>
      </c>
      <c r="AB14" s="22">
        <f>MU!AB14+UMKC!AB14+'S&amp;T'!AB14+UMSL!AB14</f>
        <v>148971</v>
      </c>
      <c r="AC14" s="22">
        <f>MU!AC14+UMKC!AC14+'S&amp;T'!AC14+UMSL!AC14</f>
        <v>174637</v>
      </c>
      <c r="AD14" s="22">
        <f>MU!AD14+UMKC!AD14+'S&amp;T'!AD14+UMSL!AD14</f>
        <v>204207</v>
      </c>
      <c r="AE14" s="22">
        <f>MU!AE14+UMKC!AE14+'S&amp;T'!AE14+UMSL!AE14</f>
        <v>177816</v>
      </c>
      <c r="AF14" s="4"/>
    </row>
    <row r="15" spans="1:40" ht="13.5" customHeight="1" x14ac:dyDescent="0.2">
      <c r="A15" s="2"/>
      <c r="C15" s="1" t="s">
        <v>28</v>
      </c>
      <c r="D15" s="23">
        <f>MU!D15+UMKC!D15+'S&amp;T'!D15+UMSL!D15+UMSa!D15</f>
        <v>8614</v>
      </c>
      <c r="E15" s="23">
        <f>MU!E15+UMKC!E15+'S&amp;T'!E15+UMSL!E15+UMSa!E15</f>
        <v>5426</v>
      </c>
      <c r="F15" s="23">
        <f>MU!F15+UMKC!F15+'S&amp;T'!F15+UMSL!F15+UMSa!F15</f>
        <v>8451</v>
      </c>
      <c r="G15" s="23">
        <f>MU!G15+UMKC!G15+'S&amp;T'!G15+UMSL!G15+UMSa!G15</f>
        <v>9352</v>
      </c>
      <c r="H15" s="23">
        <f>MU!H15+UMKC!H15+'S&amp;T'!H15+UMSL!H15+UMSa!H15</f>
        <v>13190</v>
      </c>
      <c r="I15" s="23">
        <f>MU!I15+UMKC!I15+'S&amp;T'!I15+UMSL!I15+UMSa!I15</f>
        <v>9275</v>
      </c>
      <c r="J15" s="23">
        <f>MU!J15+UMKC!J15+'S&amp;T'!J15+UMSL!J15</f>
        <v>7752</v>
      </c>
      <c r="K15" s="23">
        <f>MU!K15+UMKC!K15+'S&amp;T'!K15+UMSL!K15</f>
        <v>9363</v>
      </c>
      <c r="L15" s="23">
        <f>MU!L15+UMKC!L15+'S&amp;T'!L15+UMSL!L15</f>
        <v>8035</v>
      </c>
      <c r="M15" s="23">
        <f>MU!M15+UMKC!M15+'S&amp;T'!M15+UMSL!M15</f>
        <v>9121</v>
      </c>
      <c r="N15" s="23">
        <f>MU!N15+UMKC!N15+'S&amp;T'!N15+UMSL!N15</f>
        <v>7009</v>
      </c>
      <c r="O15" s="23">
        <f>MU!O15+UMKC!O15+'S&amp;T'!O15+UMSL!O15</f>
        <v>11575</v>
      </c>
      <c r="P15" s="23">
        <f>MU!P15+UMKC!P15+'S&amp;T'!P15+UMSL!P15</f>
        <v>14948</v>
      </c>
      <c r="Q15" s="23">
        <f>MU!Q15+UMKC!Q15+'S&amp;T'!Q15+UMSL!Q15</f>
        <v>12189</v>
      </c>
      <c r="R15" s="23">
        <f>MU!R15+UMKC!R15+'S&amp;T'!R15+UMSL!R15</f>
        <v>12085</v>
      </c>
      <c r="S15" s="23">
        <f>MU!S15+UMKC!S15+'S&amp;T'!S15+UMSL!S15</f>
        <v>10168</v>
      </c>
      <c r="T15" s="23">
        <f>MU!T15+UMKC!T15+'S&amp;T'!T15+UMSL!T15</f>
        <v>11196</v>
      </c>
      <c r="U15" s="23">
        <f>MU!U15+UMKC!U15+'S&amp;T'!U15+UMSL!U15</f>
        <v>15748</v>
      </c>
      <c r="V15" s="23">
        <f>MU!V15+UMKC!V15+'S&amp;T'!V15+UMSL!V15</f>
        <v>21026</v>
      </c>
      <c r="W15" s="23">
        <f>MU!W15+UMKC!W15+'S&amp;T'!W15+UMSL!W15</f>
        <v>20734</v>
      </c>
      <c r="X15" s="23">
        <f>MU!X15+UMKC!X15+'S&amp;T'!X15+UMSL!X15</f>
        <v>22761</v>
      </c>
      <c r="Y15" s="23">
        <f>MU!Y15+UMKC!Y15+'S&amp;T'!Y15+UMSL!Y15</f>
        <v>19550</v>
      </c>
      <c r="Z15" s="23">
        <f>MU!Z15+UMKC!Z15+'S&amp;T'!Z15+UMSL!Z15</f>
        <v>16417</v>
      </c>
      <c r="AA15" s="23">
        <f>MU!AA15+UMKC!AA15+'S&amp;T'!AA15+UMSL!AA15</f>
        <v>17942</v>
      </c>
      <c r="AB15" s="23">
        <f>MU!AB15+UMKC!AB15+'S&amp;T'!AB15+UMSL!AB15</f>
        <v>17954</v>
      </c>
      <c r="AC15" s="23">
        <f>MU!AC15+UMKC!AC15+'S&amp;T'!AC15+UMSL!AC15</f>
        <v>18601</v>
      </c>
      <c r="AD15" s="23">
        <f>MU!AD15+UMKC!AD15+'S&amp;T'!AD15+UMSL!AD15</f>
        <v>22425</v>
      </c>
      <c r="AE15" s="23">
        <f>MU!AE15+UMKC!AE15+'S&amp;T'!AE15+UMSL!AE15</f>
        <v>27541</v>
      </c>
      <c r="AF15" s="4"/>
    </row>
    <row r="16" spans="1:40" ht="13.5" customHeight="1" x14ac:dyDescent="0.2">
      <c r="A16" s="2"/>
      <c r="D16" s="21">
        <f>SUM(D11:D15)</f>
        <v>159707</v>
      </c>
      <c r="E16" s="21">
        <f>SUM(E11:E15)</f>
        <v>169167</v>
      </c>
      <c r="F16" s="21">
        <f>SUM(F11:F15)</f>
        <v>180408</v>
      </c>
      <c r="G16" s="21">
        <f>SUM(G11:G15)</f>
        <v>199547</v>
      </c>
      <c r="H16" s="21">
        <f t="shared" ref="H16:U16" si="0">SUM(H11:H15)</f>
        <v>214593</v>
      </c>
      <c r="I16" s="21">
        <f>SUM(I11:I15)</f>
        <v>232460</v>
      </c>
      <c r="J16" s="21">
        <f t="shared" ref="J16:Q16" si="1">SUM(J11:J15)</f>
        <v>244812</v>
      </c>
      <c r="K16" s="21">
        <f t="shared" si="1"/>
        <v>285132</v>
      </c>
      <c r="L16" s="21">
        <f t="shared" si="1"/>
        <v>303189</v>
      </c>
      <c r="M16" s="21">
        <f t="shared" si="1"/>
        <v>301891</v>
      </c>
      <c r="N16" s="21">
        <f t="shared" si="1"/>
        <v>290353</v>
      </c>
      <c r="O16" s="21">
        <f t="shared" si="1"/>
        <v>296826</v>
      </c>
      <c r="P16" s="21">
        <f t="shared" si="1"/>
        <v>320922</v>
      </c>
      <c r="Q16" s="21">
        <f t="shared" si="1"/>
        <v>321019</v>
      </c>
      <c r="R16" s="21">
        <f t="shared" si="0"/>
        <v>301373.90000000002</v>
      </c>
      <c r="S16" s="21">
        <f t="shared" si="0"/>
        <v>298166.84999999998</v>
      </c>
      <c r="T16" s="21">
        <f t="shared" si="0"/>
        <v>305514</v>
      </c>
      <c r="U16" s="21">
        <f t="shared" si="0"/>
        <v>304837</v>
      </c>
      <c r="V16" s="21">
        <f t="shared" ref="V16:AA16" si="2">SUM(V11:V15)</f>
        <v>313206</v>
      </c>
      <c r="W16" s="21">
        <f t="shared" si="2"/>
        <v>312662</v>
      </c>
      <c r="X16" s="21">
        <f t="shared" si="2"/>
        <v>333281</v>
      </c>
      <c r="Y16" s="21">
        <f t="shared" si="2"/>
        <v>343381</v>
      </c>
      <c r="Z16" s="21">
        <f t="shared" si="2"/>
        <v>351431</v>
      </c>
      <c r="AA16" s="21">
        <f t="shared" si="2"/>
        <v>379007</v>
      </c>
      <c r="AB16" s="21">
        <f t="shared" ref="AB16:AC16" si="3">SUM(AB11:AB15)</f>
        <v>397999</v>
      </c>
      <c r="AC16" s="21">
        <f t="shared" si="3"/>
        <v>449409</v>
      </c>
      <c r="AD16" s="21">
        <f t="shared" ref="AD16:AE16" si="4">SUM(AD11:AD15)</f>
        <v>509927</v>
      </c>
      <c r="AE16" s="21">
        <f t="shared" si="4"/>
        <v>536691</v>
      </c>
      <c r="AF16" s="4"/>
    </row>
    <row r="17" spans="1:32" ht="13.5" customHeight="1" x14ac:dyDescent="0.2">
      <c r="A17" s="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4"/>
    </row>
    <row r="18" spans="1:32" ht="13.5" customHeight="1" x14ac:dyDescent="0.2">
      <c r="A18" s="2"/>
      <c r="B18" s="36" t="s">
        <v>29</v>
      </c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  <c r="AF18" s="4"/>
    </row>
    <row r="19" spans="1:32" ht="13.5" customHeight="1" x14ac:dyDescent="0.2">
      <c r="A19" s="2"/>
      <c r="C19" s="1" t="s">
        <v>24</v>
      </c>
      <c r="D19" s="21"/>
      <c r="E19" s="21"/>
      <c r="F19" s="21"/>
      <c r="G19" s="21">
        <f>MU!G19+UMKC!G19+'S&amp;T'!G19+UMSL!G19+UMSa!G19</f>
        <v>959</v>
      </c>
      <c r="H19" s="21">
        <f>MU!H19+UMKC!H19+'S&amp;T'!H19+UMSL!H19+UMSa!H19</f>
        <v>960</v>
      </c>
      <c r="I19" s="21">
        <f>MU!I19+UMKC!I19+'S&amp;T'!I19+UMSL!I19+UMSa!I19</f>
        <v>954</v>
      </c>
      <c r="J19" s="21">
        <f>MU!J19+UMKC!J19+'S&amp;T'!J19+UMSL!J19</f>
        <v>1569</v>
      </c>
      <c r="K19" s="21">
        <f>MU!K19+UMKC!K19+'S&amp;T'!K19+UMSL!K19</f>
        <v>3247</v>
      </c>
      <c r="L19" s="21">
        <f>MU!L19+UMKC!L19+'S&amp;T'!L19+UMSL!L19</f>
        <v>4545</v>
      </c>
      <c r="M19" s="21">
        <f>MU!M19+UMKC!M19+'S&amp;T'!M19+UMSL!M19</f>
        <v>10384</v>
      </c>
      <c r="N19" s="21">
        <f>MU!N19+UMKC!N19+'S&amp;T'!N19+UMSL!N19</f>
        <v>10546</v>
      </c>
      <c r="O19" s="21">
        <f>MU!O19+UMKC!O19+'S&amp;T'!O19+UMSL!O19</f>
        <v>15785</v>
      </c>
      <c r="P19" s="21">
        <f>MU!P19+UMKC!P19+'S&amp;T'!P19+UMSL!P19</f>
        <v>6086</v>
      </c>
      <c r="Q19" s="21">
        <f>MU!Q19+UMKC!Q19+'S&amp;T'!Q19+UMSL!Q19</f>
        <v>7589</v>
      </c>
      <c r="R19" s="21">
        <f>MU!R19+UMKC!R19+'S&amp;T'!R19+UMSL!R19</f>
        <v>5120</v>
      </c>
      <c r="S19" s="21">
        <f>MU!S19+UMKC!S19+'S&amp;T'!S19+UMSL!S19</f>
        <v>5514</v>
      </c>
      <c r="T19" s="21">
        <f>MU!T19+UMKC!T19+'S&amp;T'!T19+UMSL!T19</f>
        <v>5862</v>
      </c>
      <c r="U19" s="21">
        <f>MU!U19+UMKC!U19+'S&amp;T'!U19+UMSL!U19</f>
        <v>4640</v>
      </c>
      <c r="V19" s="21">
        <f>MU!V19+UMKC!V19+'S&amp;T'!V19+UMSL!V19</f>
        <v>3579</v>
      </c>
      <c r="W19" s="21">
        <f>MU!W19+UMKC!W19+'S&amp;T'!W19+UMSL!W19</f>
        <v>3391</v>
      </c>
      <c r="X19" s="21">
        <f>MU!X19+UMKC!X19+'S&amp;T'!X19+UMSL!X19</f>
        <v>10714</v>
      </c>
      <c r="Y19" s="21">
        <f>MU!Y19+UMKC!Y19+'S&amp;T'!Y19+UMSL!Y19</f>
        <v>12418</v>
      </c>
      <c r="Z19" s="21">
        <f>MU!Z19+UMKC!Z19+'S&amp;T'!Z19+UMSL!Z19</f>
        <v>12582</v>
      </c>
      <c r="AA19" s="21">
        <f>MU!AA19+UMKC!AA19+'S&amp;T'!AA19+UMSL!AA19</f>
        <v>12101</v>
      </c>
      <c r="AB19" s="21">
        <f>MU!AB19+UMKC!AB19+'S&amp;T'!AB19+UMSL!AB19</f>
        <v>19873</v>
      </c>
      <c r="AC19" s="21">
        <f>MU!AC19+UMKC!AC19+'S&amp;T'!AC19+UMSL!AC19</f>
        <v>19438</v>
      </c>
      <c r="AD19" s="21">
        <f>MU!AD19+UMKC!AD19+'S&amp;T'!AD19+UMSL!AD19</f>
        <v>21586</v>
      </c>
      <c r="AE19" s="21">
        <f>MU!AE19+UMKC!AE19+'S&amp;T'!AE19+UMSL!AE19</f>
        <v>30059</v>
      </c>
      <c r="AF19" s="4"/>
    </row>
    <row r="20" spans="1:32" ht="13.5" customHeight="1" x14ac:dyDescent="0.2">
      <c r="A20" s="2"/>
      <c r="C20" s="1" t="s">
        <v>25</v>
      </c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>
        <f>MU!R20+UMKC!R20+'S&amp;T'!R20+UMSL!R20</f>
        <v>0</v>
      </c>
      <c r="S20" s="22">
        <f>MU!S20+UMKC!S20+'S&amp;T'!S20+UMSL!S20</f>
        <v>0</v>
      </c>
      <c r="T20" s="22">
        <f>MU!T20+UMKC!T20+'S&amp;T'!T20+UMSL!T20</f>
        <v>0</v>
      </c>
      <c r="U20" s="22">
        <f>MU!U20+UMKC!U20+'S&amp;T'!U20+UMSL!U20</f>
        <v>0</v>
      </c>
      <c r="V20" s="22">
        <f>MU!V20+UMKC!V20+'S&amp;T'!V20+UMSL!V20</f>
        <v>50</v>
      </c>
      <c r="W20" s="22">
        <f>MU!W20+UMKC!W20+'S&amp;T'!W20+UMSL!W20</f>
        <v>65</v>
      </c>
      <c r="X20" s="22">
        <f>MU!X20+UMKC!X20+'S&amp;T'!X20+UMSL!X20</f>
        <v>41</v>
      </c>
      <c r="Y20" s="22">
        <f>MU!Y20+UMKC!Y20+'S&amp;T'!Y20+UMSL!Y20</f>
        <v>165</v>
      </c>
      <c r="Z20" s="22">
        <f>MU!Z20+UMKC!Z20+'S&amp;T'!Z20+UMSL!Z20</f>
        <v>97</v>
      </c>
      <c r="AA20" s="22">
        <f>MU!AA20+UMKC!AA20+'S&amp;T'!AA20+UMSL!AA20</f>
        <v>2141</v>
      </c>
      <c r="AB20" s="22">
        <f>MU!AB20+UMKC!AB20+'S&amp;T'!AB20+UMSL!AB20</f>
        <v>1716</v>
      </c>
      <c r="AC20" s="22">
        <f>MU!AC20+UMKC!AC20+'S&amp;T'!AC20+UMSL!AC20</f>
        <v>353</v>
      </c>
      <c r="AD20" s="22">
        <f>MU!AD20+UMKC!AD20+'S&amp;T'!AD20+UMSL!AD20</f>
        <v>642</v>
      </c>
      <c r="AE20" s="22">
        <f>MU!AE20+UMKC!AE20+'S&amp;T'!AE20+UMSL!AE20</f>
        <v>8172</v>
      </c>
      <c r="AF20" s="4"/>
    </row>
    <row r="21" spans="1:32" ht="13.5" customHeight="1" x14ac:dyDescent="0.2">
      <c r="A21" s="2"/>
      <c r="C21" s="1" t="s">
        <v>26</v>
      </c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>
        <f>MU!R21+UMKC!R21+'S&amp;T'!R21+UMSL!R21</f>
        <v>11</v>
      </c>
      <c r="S21" s="22">
        <f>MU!S21+UMKC!S21+'S&amp;T'!S21+UMSL!S21</f>
        <v>102</v>
      </c>
      <c r="T21" s="22">
        <f>MU!T21+UMKC!T21+'S&amp;T'!T21+UMSL!T21</f>
        <v>110</v>
      </c>
      <c r="U21" s="22">
        <f>MU!U21+UMKC!U21+'S&amp;T'!U21+UMSL!U21</f>
        <v>173</v>
      </c>
      <c r="V21" s="22">
        <f>MU!V21+UMKC!V21+'S&amp;T'!V21+UMSL!V21</f>
        <v>115</v>
      </c>
      <c r="W21" s="22">
        <f>MU!W21+UMKC!W21+'S&amp;T'!W21+UMSL!W21</f>
        <v>27</v>
      </c>
      <c r="X21" s="22">
        <f>MU!X21+UMKC!X21+'S&amp;T'!X21+UMSL!X21</f>
        <v>68</v>
      </c>
      <c r="Y21" s="22">
        <f>MU!Y21+UMKC!Y21+'S&amp;T'!Y21+UMSL!Y21</f>
        <v>30</v>
      </c>
      <c r="Z21" s="22">
        <f>MU!Z21+UMKC!Z21+'S&amp;T'!Z21+UMSL!Z21</f>
        <v>126</v>
      </c>
      <c r="AA21" s="22">
        <f>MU!AA21+UMKC!AA21+'S&amp;T'!AA21+UMSL!AA21</f>
        <v>176</v>
      </c>
      <c r="AB21" s="22">
        <f>MU!AB21+UMKC!AB21+'S&amp;T'!AB21+UMSL!AB21</f>
        <v>238</v>
      </c>
      <c r="AC21" s="22">
        <f>MU!AC21+UMKC!AC21+'S&amp;T'!AC21+UMSL!AC21</f>
        <v>70</v>
      </c>
      <c r="AD21" s="22">
        <f>MU!AD21+UMKC!AD21+'S&amp;T'!AD21+UMSL!AD21</f>
        <v>80</v>
      </c>
      <c r="AE21" s="22">
        <f>MU!AE21+UMKC!AE21+'S&amp;T'!AE21+UMSL!AE21</f>
        <v>45</v>
      </c>
      <c r="AF21" s="4"/>
    </row>
    <row r="22" spans="1:32" ht="13.5" customHeight="1" x14ac:dyDescent="0.2">
      <c r="A22" s="2"/>
      <c r="C22" s="1" t="s">
        <v>27</v>
      </c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>
        <f>MU!R22+UMKC!R22+'S&amp;T'!R22+UMSL!R22</f>
        <v>18123.099999999999</v>
      </c>
      <c r="S22" s="22">
        <f>MU!S22+UMKC!S22+'S&amp;T'!S22+UMSL!S22</f>
        <v>19480.150000000001</v>
      </c>
      <c r="T22" s="22">
        <f>MU!T22+UMKC!T22+'S&amp;T'!T22+UMSL!T22</f>
        <v>15185</v>
      </c>
      <c r="U22" s="22">
        <f>MU!U22+UMKC!U22+'S&amp;T'!U22+UMSL!U22</f>
        <v>16452</v>
      </c>
      <c r="V22" s="22">
        <f>MU!V22+UMKC!V22+'S&amp;T'!V22+UMSL!V22</f>
        <v>6956</v>
      </c>
      <c r="W22" s="22">
        <f>MU!W22+UMKC!W22+'S&amp;T'!W22+UMSL!W22</f>
        <v>4514</v>
      </c>
      <c r="X22" s="22">
        <f>MU!X22+UMKC!X22+'S&amp;T'!X22+UMSL!X22</f>
        <v>9843</v>
      </c>
      <c r="Y22" s="22">
        <f>MU!Y22+UMKC!Y22+'S&amp;T'!Y22+UMSL!Y22</f>
        <v>11773</v>
      </c>
      <c r="Z22" s="22">
        <f>MU!Z22+UMKC!Z22+'S&amp;T'!Z22+UMSL!Z22</f>
        <v>9846</v>
      </c>
      <c r="AA22" s="22">
        <f>MU!AA22+UMKC!AA22+'S&amp;T'!AA22+UMSL!AA22</f>
        <v>9495</v>
      </c>
      <c r="AB22" s="22">
        <f>MU!AB22+UMKC!AB22+'S&amp;T'!AB22+UMSL!AB22</f>
        <v>8406</v>
      </c>
      <c r="AC22" s="22">
        <f>MU!AC22+UMKC!AC22+'S&amp;T'!AC22+UMSL!AC22</f>
        <v>17711</v>
      </c>
      <c r="AD22" s="22">
        <f>MU!AD22+UMKC!AD22+'S&amp;T'!AD22+UMSL!AD22</f>
        <v>15183</v>
      </c>
      <c r="AE22" s="22">
        <f>MU!AE22+UMKC!AE22+'S&amp;T'!AE22+UMSL!AE22</f>
        <v>11517</v>
      </c>
      <c r="AF22" s="4"/>
    </row>
    <row r="23" spans="1:32" ht="13.5" customHeight="1" x14ac:dyDescent="0.2">
      <c r="A23" s="2"/>
      <c r="C23" s="1" t="s">
        <v>28</v>
      </c>
      <c r="D23" s="22"/>
      <c r="E23" s="22"/>
      <c r="F23" s="22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>
        <f>MU!R23+UMKC!R23+'S&amp;T'!R23+UMSL!R23</f>
        <v>926</v>
      </c>
      <c r="S23" s="23">
        <f>MU!S23+UMKC!S23+'S&amp;T'!S23+UMSL!S23</f>
        <v>505</v>
      </c>
      <c r="T23" s="23">
        <f>MU!T23+UMKC!T23+'S&amp;T'!T23+UMSL!T23</f>
        <v>310</v>
      </c>
      <c r="U23" s="23">
        <f>MU!U23+UMKC!U23+'S&amp;T'!U23+UMSL!U23</f>
        <v>416</v>
      </c>
      <c r="V23" s="23">
        <f>MU!V23+UMKC!V23+'S&amp;T'!V23+UMSL!V23</f>
        <v>207</v>
      </c>
      <c r="W23" s="23">
        <f>MU!W23+UMKC!W23+'S&amp;T'!W23+UMSL!W23</f>
        <v>523</v>
      </c>
      <c r="X23" s="23">
        <f>MU!X23+UMKC!X23+'S&amp;T'!X23+UMSL!X23</f>
        <v>1612</v>
      </c>
      <c r="Y23" s="23">
        <f>MU!Y23+UMKC!Y23+'S&amp;T'!Y23+UMSL!Y23</f>
        <v>657</v>
      </c>
      <c r="Z23" s="23">
        <f>MU!Z23+UMKC!Z23+'S&amp;T'!Z23+UMSL!Z23</f>
        <v>789</v>
      </c>
      <c r="AA23" s="23">
        <f>MU!AA23+UMKC!AA23+'S&amp;T'!AA23+UMSL!AA23</f>
        <v>1720</v>
      </c>
      <c r="AB23" s="23">
        <f>MU!AB23+UMKC!AB23+'S&amp;T'!AB23+UMSL!AB23</f>
        <v>3716</v>
      </c>
      <c r="AC23" s="23">
        <f>MU!AC23+UMKC!AC23+'S&amp;T'!AC23+UMSL!AC23</f>
        <v>4722</v>
      </c>
      <c r="AD23" s="23">
        <f>MU!AD23+UMKC!AD23+'S&amp;T'!AD23+UMSL!AD23</f>
        <v>4153</v>
      </c>
      <c r="AE23" s="23">
        <f>MU!AE23+UMKC!AE23+'S&amp;T'!AE23+UMSL!AE23</f>
        <v>4820</v>
      </c>
      <c r="AF23" s="4"/>
    </row>
    <row r="24" spans="1:32" ht="13.5" customHeight="1" x14ac:dyDescent="0.2">
      <c r="A24" s="2"/>
      <c r="D24" s="21"/>
      <c r="E24" s="21"/>
      <c r="F24" s="21"/>
      <c r="G24" s="21">
        <f>MU!G24+UMKC!G24+'S&amp;T'!G24+UMSL!G24+UMSa!G24</f>
        <v>6472</v>
      </c>
      <c r="H24" s="21">
        <f>MU!H24+UMKC!H24+'S&amp;T'!H24+UMSL!H24+UMSa!H24</f>
        <v>7297</v>
      </c>
      <c r="I24" s="21">
        <f>MU!I24+UMKC!I24+'S&amp;T'!I24+UMSL!I24+UMSa!I24</f>
        <v>8922</v>
      </c>
      <c r="J24" s="21">
        <f>MU!J24+UMKC!J24+'S&amp;T'!J24+UMSL!J24</f>
        <v>9215</v>
      </c>
      <c r="K24" s="21">
        <f>MU!K24+UMKC!K24+'S&amp;T'!K24+UMSL!K24</f>
        <v>17597</v>
      </c>
      <c r="L24" s="21">
        <f>MU!L24+UMKC!L24+'S&amp;T'!L24+UMSL!L24</f>
        <v>20683</v>
      </c>
      <c r="M24" s="21">
        <f>MU!M24+UMKC!M24+'S&amp;T'!M24+UMSL!M24</f>
        <v>21579</v>
      </c>
      <c r="N24" s="21">
        <f>MU!N24+UMKC!N24+'S&amp;T'!N24+UMSL!N24</f>
        <v>21250</v>
      </c>
      <c r="O24" s="21">
        <f>MU!O24+UMKC!O24+'S&amp;T'!O24+UMSL!O24</f>
        <v>22929</v>
      </c>
      <c r="P24" s="21">
        <f>MU!P24+UMKC!P24+'S&amp;T'!P24+UMSL!P24</f>
        <v>10771</v>
      </c>
      <c r="Q24" s="21">
        <f>MU!Q24+UMKC!Q24+'S&amp;T'!Q24+UMSL!Q24</f>
        <v>12502</v>
      </c>
      <c r="R24" s="21">
        <f t="shared" ref="R24:U24" si="5">SUM(R19:R23)</f>
        <v>24180.1</v>
      </c>
      <c r="S24" s="21">
        <f t="shared" si="5"/>
        <v>25601.15</v>
      </c>
      <c r="T24" s="21">
        <f t="shared" si="5"/>
        <v>21467</v>
      </c>
      <c r="U24" s="21">
        <f t="shared" si="5"/>
        <v>21681</v>
      </c>
      <c r="V24" s="21">
        <f t="shared" ref="V24:AA24" si="6">SUM(V19:V23)</f>
        <v>10907</v>
      </c>
      <c r="W24" s="21">
        <f t="shared" si="6"/>
        <v>8520</v>
      </c>
      <c r="X24" s="21">
        <f t="shared" si="6"/>
        <v>22278</v>
      </c>
      <c r="Y24" s="21">
        <f t="shared" si="6"/>
        <v>25043</v>
      </c>
      <c r="Z24" s="21">
        <f t="shared" si="6"/>
        <v>23440</v>
      </c>
      <c r="AA24" s="21">
        <f t="shared" si="6"/>
        <v>25633</v>
      </c>
      <c r="AB24" s="21">
        <f t="shared" ref="AB24:AC24" si="7">SUM(AB19:AB23)</f>
        <v>33949</v>
      </c>
      <c r="AC24" s="21">
        <f t="shared" si="7"/>
        <v>42294</v>
      </c>
      <c r="AD24" s="21">
        <f t="shared" ref="AD24:AE24" si="8">SUM(AD19:AD23)</f>
        <v>41644</v>
      </c>
      <c r="AE24" s="21">
        <f t="shared" si="8"/>
        <v>54613</v>
      </c>
      <c r="AF24" s="4"/>
    </row>
    <row r="25" spans="1:32" ht="13.5" customHeight="1" x14ac:dyDescent="0.2">
      <c r="A25" s="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4"/>
    </row>
    <row r="26" spans="1:32" ht="13.5" customHeight="1" x14ac:dyDescent="0.2">
      <c r="A26" s="2"/>
      <c r="B26" s="36" t="s">
        <v>30</v>
      </c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4"/>
    </row>
    <row r="27" spans="1:32" ht="13.5" customHeight="1" x14ac:dyDescent="0.2">
      <c r="A27" s="2"/>
      <c r="C27" s="1" t="s">
        <v>24</v>
      </c>
      <c r="D27" s="21"/>
      <c r="E27" s="21"/>
      <c r="F27" s="21"/>
      <c r="G27" s="21">
        <f>G11+G19</f>
        <v>75612</v>
      </c>
      <c r="H27" s="21">
        <f>H11+H19</f>
        <v>88197</v>
      </c>
      <c r="I27" s="21">
        <f>I11+I19</f>
        <v>93815</v>
      </c>
      <c r="J27" s="21">
        <f t="shared" ref="J27:V31" si="9">J11+J19</f>
        <v>110611</v>
      </c>
      <c r="K27" s="21">
        <f t="shared" si="9"/>
        <v>124810</v>
      </c>
      <c r="L27" s="21">
        <f t="shared" si="9"/>
        <v>135381</v>
      </c>
      <c r="M27" s="21">
        <f t="shared" si="9"/>
        <v>149624</v>
      </c>
      <c r="N27" s="21">
        <f t="shared" si="9"/>
        <v>155640</v>
      </c>
      <c r="O27" s="21">
        <f t="shared" si="9"/>
        <v>163151</v>
      </c>
      <c r="P27" s="21">
        <f t="shared" si="9"/>
        <v>158759</v>
      </c>
      <c r="Q27" s="21">
        <f t="shared" si="9"/>
        <v>171955</v>
      </c>
      <c r="R27" s="21">
        <f t="shared" si="9"/>
        <v>168746</v>
      </c>
      <c r="S27" s="21">
        <f t="shared" si="9"/>
        <v>173509</v>
      </c>
      <c r="T27" s="21">
        <f t="shared" si="9"/>
        <v>165248</v>
      </c>
      <c r="U27" s="21">
        <f t="shared" si="9"/>
        <v>160723</v>
      </c>
      <c r="V27" s="21">
        <f t="shared" si="9"/>
        <v>147743</v>
      </c>
      <c r="W27" s="21">
        <f t="shared" ref="W27:X27" si="10">W11+W19</f>
        <v>140343</v>
      </c>
      <c r="X27" s="21">
        <f t="shared" si="10"/>
        <v>162944</v>
      </c>
      <c r="Y27" s="21">
        <f t="shared" ref="Y27:Z27" si="11">Y11+Y19</f>
        <v>170628</v>
      </c>
      <c r="Z27" s="21">
        <f t="shared" si="11"/>
        <v>176621</v>
      </c>
      <c r="AA27" s="21">
        <f t="shared" ref="AA27:AB27" si="12">AA11+AA19</f>
        <v>187890</v>
      </c>
      <c r="AB27" s="21">
        <f t="shared" si="12"/>
        <v>207516</v>
      </c>
      <c r="AC27" s="21">
        <f t="shared" ref="AC27:AD27" si="13">AC11+AC19</f>
        <v>216755</v>
      </c>
      <c r="AD27" s="21">
        <f t="shared" si="13"/>
        <v>246931</v>
      </c>
      <c r="AE27" s="21">
        <f t="shared" ref="AE27" si="14">AE11+AE19</f>
        <v>282232</v>
      </c>
      <c r="AF27" s="4"/>
    </row>
    <row r="28" spans="1:32" ht="13.5" customHeight="1" x14ac:dyDescent="0.2">
      <c r="A28" s="2"/>
      <c r="C28" s="1" t="s">
        <v>25</v>
      </c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>
        <f>R12+R20</f>
        <v>5490</v>
      </c>
      <c r="S28" s="22">
        <f t="shared" si="9"/>
        <v>4499</v>
      </c>
      <c r="T28" s="22">
        <f t="shared" si="9"/>
        <v>3941</v>
      </c>
      <c r="U28" s="22">
        <f t="shared" si="9"/>
        <v>3328</v>
      </c>
      <c r="V28" s="22">
        <f t="shared" si="9"/>
        <v>2449</v>
      </c>
      <c r="W28" s="22">
        <f t="shared" ref="W28:X28" si="15">W12+W20</f>
        <v>2549</v>
      </c>
      <c r="X28" s="22">
        <f t="shared" si="15"/>
        <v>16740</v>
      </c>
      <c r="Y28" s="22">
        <f t="shared" ref="Y28:Z28" si="16">Y12+Y20</f>
        <v>14972</v>
      </c>
      <c r="Z28" s="22">
        <f t="shared" si="16"/>
        <v>16371</v>
      </c>
      <c r="AA28" s="22">
        <f t="shared" ref="AA28:AB28" si="17">AA12+AA20</f>
        <v>20641</v>
      </c>
      <c r="AB28" s="22">
        <f t="shared" si="17"/>
        <v>25380</v>
      </c>
      <c r="AC28" s="22">
        <f t="shared" ref="AC28:AD28" si="18">AC12+AC20</f>
        <v>40235</v>
      </c>
      <c r="AD28" s="22">
        <f t="shared" si="18"/>
        <v>36086</v>
      </c>
      <c r="AE28" s="22">
        <f t="shared" ref="AE28" si="19">AE12+AE20</f>
        <v>66968</v>
      </c>
      <c r="AF28" s="4"/>
    </row>
    <row r="29" spans="1:32" ht="13.5" customHeight="1" x14ac:dyDescent="0.2">
      <c r="A29" s="2"/>
      <c r="C29" s="1" t="s">
        <v>26</v>
      </c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>
        <f t="shared" si="9"/>
        <v>11276</v>
      </c>
      <c r="S29" s="22">
        <f t="shared" si="9"/>
        <v>10501</v>
      </c>
      <c r="T29" s="22">
        <f t="shared" si="9"/>
        <v>11751</v>
      </c>
      <c r="U29" s="22">
        <f t="shared" si="9"/>
        <v>12688</v>
      </c>
      <c r="V29" s="22">
        <f t="shared" si="9"/>
        <v>11900</v>
      </c>
      <c r="W29" s="22">
        <f t="shared" ref="W29:X29" si="20">W13+W21</f>
        <v>11499</v>
      </c>
      <c r="X29" s="22">
        <f t="shared" si="20"/>
        <v>14016</v>
      </c>
      <c r="Y29" s="22">
        <f t="shared" ref="Y29:Z29" si="21">Y13+Y21</f>
        <v>16638</v>
      </c>
      <c r="Z29" s="22">
        <f t="shared" si="21"/>
        <v>17013</v>
      </c>
      <c r="AA29" s="22">
        <f t="shared" ref="AA29:AB29" si="22">AA13+AA21</f>
        <v>20331</v>
      </c>
      <c r="AB29" s="22">
        <f t="shared" si="22"/>
        <v>20005</v>
      </c>
      <c r="AC29" s="22">
        <f t="shared" ref="AC29:AD29" si="23">AC13+AC21</f>
        <v>19042</v>
      </c>
      <c r="AD29" s="22">
        <f t="shared" si="23"/>
        <v>22586</v>
      </c>
      <c r="AE29" s="22">
        <f t="shared" ref="AE29" si="24">AE13+AE21</f>
        <v>20410</v>
      </c>
      <c r="AF29" s="4"/>
    </row>
    <row r="30" spans="1:32" ht="13.5" customHeight="1" x14ac:dyDescent="0.2">
      <c r="A30" s="2"/>
      <c r="C30" s="1" t="s">
        <v>31</v>
      </c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>
        <f t="shared" si="9"/>
        <v>127031</v>
      </c>
      <c r="S30" s="22">
        <f t="shared" si="9"/>
        <v>124586</v>
      </c>
      <c r="T30" s="22">
        <f t="shared" si="9"/>
        <v>134535</v>
      </c>
      <c r="U30" s="22">
        <f t="shared" si="9"/>
        <v>133615</v>
      </c>
      <c r="V30" s="22">
        <f t="shared" si="9"/>
        <v>140788</v>
      </c>
      <c r="W30" s="22">
        <f t="shared" ref="W30:X30" si="25">W14+W22</f>
        <v>145534</v>
      </c>
      <c r="X30" s="22">
        <f t="shared" si="25"/>
        <v>137486</v>
      </c>
      <c r="Y30" s="22">
        <f t="shared" ref="Y30:Z30" si="26">Y14+Y22</f>
        <v>145979</v>
      </c>
      <c r="Z30" s="22">
        <f t="shared" si="26"/>
        <v>147660</v>
      </c>
      <c r="AA30" s="22">
        <f t="shared" ref="AA30:AB30" si="27">AA14+AA22</f>
        <v>156116</v>
      </c>
      <c r="AB30" s="22">
        <f t="shared" si="27"/>
        <v>157377</v>
      </c>
      <c r="AC30" s="22">
        <f t="shared" ref="AC30:AD30" si="28">AC14+AC22</f>
        <v>192348</v>
      </c>
      <c r="AD30" s="22">
        <f t="shared" si="28"/>
        <v>219390</v>
      </c>
      <c r="AE30" s="22">
        <f t="shared" ref="AE30" si="29">AE14+AE22</f>
        <v>189333</v>
      </c>
      <c r="AF30" s="4"/>
    </row>
    <row r="31" spans="1:32" ht="13.5" customHeight="1" x14ac:dyDescent="0.2">
      <c r="A31" s="2"/>
      <c r="C31" s="1" t="s">
        <v>28</v>
      </c>
      <c r="D31" s="22"/>
      <c r="E31" s="22"/>
      <c r="F31" s="22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>
        <f t="shared" si="9"/>
        <v>13011</v>
      </c>
      <c r="S31" s="23">
        <f t="shared" si="9"/>
        <v>10673</v>
      </c>
      <c r="T31" s="23">
        <f t="shared" si="9"/>
        <v>11506</v>
      </c>
      <c r="U31" s="23">
        <f t="shared" si="9"/>
        <v>16164</v>
      </c>
      <c r="V31" s="23">
        <f t="shared" si="9"/>
        <v>21233</v>
      </c>
      <c r="W31" s="23">
        <f t="shared" ref="W31:X31" si="30">W15+W23</f>
        <v>21257</v>
      </c>
      <c r="X31" s="23">
        <f t="shared" si="30"/>
        <v>24373</v>
      </c>
      <c r="Y31" s="23">
        <f t="shared" ref="Y31:Z31" si="31">Y15+Y23</f>
        <v>20207</v>
      </c>
      <c r="Z31" s="23">
        <f t="shared" si="31"/>
        <v>17206</v>
      </c>
      <c r="AA31" s="23">
        <f t="shared" ref="AA31:AB31" si="32">AA15+AA23</f>
        <v>19662</v>
      </c>
      <c r="AB31" s="23">
        <f t="shared" si="32"/>
        <v>21670</v>
      </c>
      <c r="AC31" s="23">
        <f t="shared" ref="AC31:AD31" si="33">AC15+AC23</f>
        <v>23323</v>
      </c>
      <c r="AD31" s="23">
        <f t="shared" si="33"/>
        <v>26578</v>
      </c>
      <c r="AE31" s="23">
        <f t="shared" ref="AE31" si="34">AE15+AE23</f>
        <v>32361</v>
      </c>
      <c r="AF31" s="4"/>
    </row>
    <row r="32" spans="1:32" ht="13.5" customHeight="1" x14ac:dyDescent="0.2">
      <c r="A32" s="2"/>
      <c r="D32" s="21"/>
      <c r="E32" s="21"/>
      <c r="F32" s="21"/>
      <c r="G32" s="21">
        <f>G16+G24</f>
        <v>206019</v>
      </c>
      <c r="H32" s="21">
        <f>H16+H24</f>
        <v>221890</v>
      </c>
      <c r="I32" s="21">
        <f>I16+I24</f>
        <v>241382</v>
      </c>
      <c r="J32" s="21">
        <f t="shared" ref="J32:O32" si="35">J16+J24</f>
        <v>254027</v>
      </c>
      <c r="K32" s="21">
        <f t="shared" si="35"/>
        <v>302729</v>
      </c>
      <c r="L32" s="21">
        <f t="shared" si="35"/>
        <v>323872</v>
      </c>
      <c r="M32" s="21">
        <f t="shared" si="35"/>
        <v>323470</v>
      </c>
      <c r="N32" s="21">
        <f t="shared" si="35"/>
        <v>311603</v>
      </c>
      <c r="O32" s="21">
        <f t="shared" si="35"/>
        <v>319755</v>
      </c>
      <c r="P32" s="21">
        <f>P16+P24</f>
        <v>331693</v>
      </c>
      <c r="Q32" s="21">
        <f>Q16+Q24</f>
        <v>333521</v>
      </c>
      <c r="R32" s="21">
        <f t="shared" ref="R32:X32" si="36">SUM(R27:R31)</f>
        <v>325554</v>
      </c>
      <c r="S32" s="21">
        <f t="shared" si="36"/>
        <v>323768</v>
      </c>
      <c r="T32" s="21">
        <f t="shared" si="36"/>
        <v>326981</v>
      </c>
      <c r="U32" s="21">
        <f t="shared" si="36"/>
        <v>326518</v>
      </c>
      <c r="V32" s="21">
        <f t="shared" si="36"/>
        <v>324113</v>
      </c>
      <c r="W32" s="21">
        <f t="shared" si="36"/>
        <v>321182</v>
      </c>
      <c r="X32" s="21">
        <f t="shared" si="36"/>
        <v>355559</v>
      </c>
      <c r="Y32" s="21">
        <f t="shared" ref="Y32:Z32" si="37">SUM(Y27:Y31)</f>
        <v>368424</v>
      </c>
      <c r="Z32" s="21">
        <f t="shared" si="37"/>
        <v>374871</v>
      </c>
      <c r="AA32" s="21">
        <f t="shared" ref="AA32:AB32" si="38">SUM(AA27:AA31)</f>
        <v>404640</v>
      </c>
      <c r="AB32" s="21">
        <f t="shared" si="38"/>
        <v>431948</v>
      </c>
      <c r="AC32" s="21">
        <f t="shared" ref="AC32:AD32" si="39">SUM(AC27:AC31)</f>
        <v>491703</v>
      </c>
      <c r="AD32" s="21">
        <f t="shared" si="39"/>
        <v>551571</v>
      </c>
      <c r="AE32" s="21">
        <f t="shared" ref="AE32" si="40">SUM(AE27:AE31)</f>
        <v>591304</v>
      </c>
      <c r="AF32" s="4"/>
    </row>
    <row r="33" spans="1:32" ht="13.5" customHeight="1" x14ac:dyDescent="0.2">
      <c r="A33" s="2"/>
      <c r="B33" s="24"/>
      <c r="C33" s="24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3"/>
      <c r="AC33" s="23"/>
      <c r="AD33" s="23"/>
      <c r="AE33" s="23"/>
      <c r="AF33" s="4"/>
    </row>
    <row r="34" spans="1:32" ht="13.5" customHeight="1" x14ac:dyDescent="0.2">
      <c r="A34" s="2"/>
      <c r="B34" s="44" t="s">
        <v>32</v>
      </c>
      <c r="C34" s="45"/>
      <c r="D34" s="45"/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5"/>
      <c r="S34" s="45"/>
      <c r="T34" s="45"/>
      <c r="U34" s="45"/>
      <c r="V34" s="45"/>
      <c r="W34" s="45"/>
      <c r="X34" s="45"/>
      <c r="Y34" s="45"/>
      <c r="Z34" s="45"/>
      <c r="AA34" s="45"/>
      <c r="AB34" s="45"/>
      <c r="AC34" s="45"/>
      <c r="AD34" s="45"/>
      <c r="AE34" s="45"/>
      <c r="AF34" s="4"/>
    </row>
    <row r="35" spans="1:32" ht="13.5" customHeight="1" x14ac:dyDescent="0.2">
      <c r="A35" s="2"/>
      <c r="B35" s="46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6"/>
      <c r="U35" s="46"/>
      <c r="V35" s="46"/>
      <c r="W35" s="46"/>
      <c r="X35" s="46"/>
      <c r="Y35" s="46"/>
      <c r="Z35" s="46"/>
      <c r="AA35" s="46"/>
      <c r="AB35" s="46"/>
      <c r="AC35" s="46"/>
      <c r="AD35" s="46"/>
      <c r="AE35" s="46"/>
      <c r="AF35" s="4"/>
    </row>
    <row r="36" spans="1:32" ht="13.5" customHeight="1" x14ac:dyDescent="0.2">
      <c r="A36" s="2"/>
      <c r="B36" s="46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6"/>
      <c r="V36" s="46"/>
      <c r="W36" s="46"/>
      <c r="X36" s="46"/>
      <c r="Y36" s="46"/>
      <c r="Z36" s="46"/>
      <c r="AA36" s="46"/>
      <c r="AB36" s="46"/>
      <c r="AC36" s="46"/>
      <c r="AD36" s="46"/>
      <c r="AE36" s="46"/>
      <c r="AF36" s="4"/>
    </row>
    <row r="37" spans="1:32" ht="13.5" customHeight="1" x14ac:dyDescent="0.2">
      <c r="A37" s="2"/>
      <c r="B37" s="46"/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6"/>
      <c r="N37" s="46"/>
      <c r="O37" s="46"/>
      <c r="P37" s="46"/>
      <c r="Q37" s="46"/>
      <c r="R37" s="46"/>
      <c r="S37" s="46"/>
      <c r="T37" s="46"/>
      <c r="U37" s="46"/>
      <c r="V37" s="46"/>
      <c r="W37" s="46"/>
      <c r="X37" s="46"/>
      <c r="Y37" s="46"/>
      <c r="Z37" s="46"/>
      <c r="AA37" s="46"/>
      <c r="AB37" s="46"/>
      <c r="AC37" s="46"/>
      <c r="AD37" s="46"/>
      <c r="AE37" s="46"/>
      <c r="AF37" s="4"/>
    </row>
    <row r="38" spans="1:32" ht="13.5" customHeight="1" x14ac:dyDescent="0.2">
      <c r="A38" s="2"/>
      <c r="B38" s="46"/>
      <c r="C38" s="46"/>
      <c r="D38" s="46"/>
      <c r="E38" s="46"/>
      <c r="F38" s="46"/>
      <c r="G38" s="46"/>
      <c r="H38" s="46"/>
      <c r="I38" s="46"/>
      <c r="J38" s="46"/>
      <c r="K38" s="46"/>
      <c r="L38" s="46"/>
      <c r="M38" s="46"/>
      <c r="N38" s="46"/>
      <c r="O38" s="46"/>
      <c r="P38" s="46"/>
      <c r="Q38" s="46"/>
      <c r="R38" s="46"/>
      <c r="S38" s="46"/>
      <c r="T38" s="46"/>
      <c r="U38" s="46"/>
      <c r="V38" s="46"/>
      <c r="W38" s="46"/>
      <c r="X38" s="46"/>
      <c r="Y38" s="46"/>
      <c r="Z38" s="46"/>
      <c r="AA38" s="46"/>
      <c r="AB38" s="46"/>
      <c r="AC38" s="46"/>
      <c r="AD38" s="46"/>
      <c r="AE38" s="46"/>
      <c r="AF38" s="4"/>
    </row>
    <row r="39" spans="1:32" ht="13.5" customHeight="1" x14ac:dyDescent="0.2">
      <c r="A39" s="2"/>
      <c r="B39" s="46"/>
      <c r="C39" s="46"/>
      <c r="D39" s="46"/>
      <c r="E39" s="46"/>
      <c r="F39" s="46"/>
      <c r="G39" s="46"/>
      <c r="H39" s="46"/>
      <c r="I39" s="46"/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46"/>
      <c r="V39" s="46"/>
      <c r="W39" s="46"/>
      <c r="X39" s="46"/>
      <c r="Y39" s="46"/>
      <c r="Z39" s="46"/>
      <c r="AA39" s="46"/>
      <c r="AB39" s="46"/>
      <c r="AC39" s="46"/>
      <c r="AD39" s="46"/>
      <c r="AE39" s="46"/>
      <c r="AF39" s="4"/>
    </row>
    <row r="40" spans="1:32" ht="13.5" customHeight="1" x14ac:dyDescent="0.2">
      <c r="A40" s="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4"/>
    </row>
    <row r="41" spans="1:32" ht="13.5" customHeight="1" x14ac:dyDescent="0.2">
      <c r="A41" s="2"/>
      <c r="B41" s="1" t="s">
        <v>41</v>
      </c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4"/>
    </row>
    <row r="42" spans="1:32" ht="13.5" customHeight="1" x14ac:dyDescent="0.2">
      <c r="A42" s="2"/>
      <c r="B42" s="1" t="s">
        <v>42</v>
      </c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4"/>
    </row>
    <row r="43" spans="1:32" ht="13.5" customHeight="1" x14ac:dyDescent="0.2">
      <c r="A43" s="2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4"/>
    </row>
    <row r="44" spans="1:32" ht="13.5" customHeight="1" x14ac:dyDescent="0.2">
      <c r="A44" s="2"/>
      <c r="B44" s="1" t="s">
        <v>33</v>
      </c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5"/>
      <c r="AF44" s="4"/>
    </row>
    <row r="45" spans="1:32" ht="13.5" customHeight="1" x14ac:dyDescent="0.2">
      <c r="A45" s="2"/>
      <c r="B45" s="1" t="s">
        <v>34</v>
      </c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25"/>
      <c r="AF45" s="4"/>
    </row>
    <row r="46" spans="1:32" ht="13.5" customHeight="1" x14ac:dyDescent="0.2">
      <c r="A46" s="2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25"/>
      <c r="AC46" s="25"/>
      <c r="AD46" s="25"/>
      <c r="AE46" s="25"/>
      <c r="AF46" s="4"/>
    </row>
    <row r="47" spans="1:32" ht="13.5" customHeight="1" x14ac:dyDescent="0.2">
      <c r="A47" s="2"/>
      <c r="B47" s="1" t="s">
        <v>35</v>
      </c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4"/>
    </row>
    <row r="48" spans="1:32" ht="13.5" customHeight="1" x14ac:dyDescent="0.2">
      <c r="A48" s="2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26"/>
      <c r="AA48" s="26"/>
      <c r="AB48" s="26"/>
      <c r="AC48" s="26"/>
      <c r="AD48" s="26"/>
      <c r="AE48" s="26"/>
      <c r="AF48" s="4"/>
    </row>
    <row r="49" spans="1:32" ht="13.5" customHeight="1" x14ac:dyDescent="0.2">
      <c r="A49" s="27"/>
      <c r="B49" s="24" t="s">
        <v>36</v>
      </c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8"/>
      <c r="W49" s="28"/>
      <c r="X49" s="28"/>
      <c r="Y49" s="28"/>
      <c r="Z49" s="28"/>
      <c r="AA49" s="28"/>
      <c r="AB49" s="28"/>
      <c r="AC49" s="28"/>
      <c r="AD49" s="28"/>
      <c r="AE49" s="28" t="s">
        <v>54</v>
      </c>
      <c r="AF49" s="29"/>
    </row>
  </sheetData>
  <mergeCells count="3">
    <mergeCell ref="A2:AF2"/>
    <mergeCell ref="B34:AE39"/>
    <mergeCell ref="D7:AE7"/>
  </mergeCells>
  <printOptions horizontalCentered="1"/>
  <pageMargins left="0.7" right="0.45" top="0.5" bottom="0.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S49"/>
  <sheetViews>
    <sheetView workbookViewId="0">
      <selection activeCell="D7" sqref="D7:AE7"/>
    </sheetView>
  </sheetViews>
  <sheetFormatPr defaultColWidth="9.140625" defaultRowHeight="13.5" customHeight="1" x14ac:dyDescent="0.2"/>
  <cols>
    <col min="1" max="2" width="2.7109375" style="1" customWidth="1"/>
    <col min="3" max="3" width="19.7109375" style="1" bestFit="1" customWidth="1"/>
    <col min="4" max="25" width="10.7109375" style="1" hidden="1" customWidth="1"/>
    <col min="26" max="31" width="10.7109375" style="1" customWidth="1"/>
    <col min="32" max="32" width="2.7109375" style="1" customWidth="1"/>
    <col min="33" max="16384" width="9.140625" style="1"/>
  </cols>
  <sheetData>
    <row r="2" spans="1:45" ht="15" customHeight="1" x14ac:dyDescent="0.25">
      <c r="A2" s="39" t="s">
        <v>0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1"/>
    </row>
    <row r="3" spans="1:45" ht="13.5" customHeight="1" x14ac:dyDescent="0.2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4"/>
    </row>
    <row r="4" spans="1:45" ht="15" customHeight="1" x14ac:dyDescent="0.2">
      <c r="A4" s="2"/>
      <c r="B4" s="5" t="s">
        <v>1</v>
      </c>
      <c r="C4" s="6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8"/>
    </row>
    <row r="5" spans="1:45" ht="15" customHeight="1" x14ac:dyDescent="0.25">
      <c r="A5" s="2"/>
      <c r="B5" s="9" t="s">
        <v>2</v>
      </c>
      <c r="C5" s="10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8"/>
    </row>
    <row r="6" spans="1:45" ht="13.5" customHeight="1" x14ac:dyDescent="0.2">
      <c r="A6" s="2"/>
      <c r="B6" s="11"/>
      <c r="C6" s="11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8"/>
    </row>
    <row r="7" spans="1:45" ht="13.5" customHeight="1" thickBot="1" x14ac:dyDescent="0.25">
      <c r="A7" s="2"/>
      <c r="B7" s="13"/>
      <c r="C7" s="13"/>
      <c r="D7" s="42" t="s">
        <v>3</v>
      </c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43"/>
      <c r="W7" s="43"/>
      <c r="X7" s="43"/>
      <c r="Y7" s="43"/>
      <c r="Z7" s="43"/>
      <c r="AA7" s="43"/>
      <c r="AB7" s="43"/>
      <c r="AC7" s="43"/>
      <c r="AD7" s="43"/>
      <c r="AE7" s="43"/>
      <c r="AF7" s="4"/>
    </row>
    <row r="8" spans="1:45" ht="13.5" customHeight="1" thickTop="1" x14ac:dyDescent="0.2">
      <c r="A8" s="2"/>
      <c r="B8" s="14"/>
      <c r="C8" s="14"/>
      <c r="D8" s="15" t="s">
        <v>4</v>
      </c>
      <c r="E8" s="15" t="s">
        <v>5</v>
      </c>
      <c r="F8" s="15" t="s">
        <v>6</v>
      </c>
      <c r="G8" s="15" t="s">
        <v>7</v>
      </c>
      <c r="H8" s="15" t="s">
        <v>8</v>
      </c>
      <c r="I8" s="15" t="s">
        <v>9</v>
      </c>
      <c r="J8" s="15" t="s">
        <v>10</v>
      </c>
      <c r="K8" s="15" t="s">
        <v>11</v>
      </c>
      <c r="L8" s="15" t="s">
        <v>12</v>
      </c>
      <c r="M8" s="15" t="s">
        <v>13</v>
      </c>
      <c r="N8" s="15" t="s">
        <v>14</v>
      </c>
      <c r="O8" s="15" t="s">
        <v>15</v>
      </c>
      <c r="P8" s="15" t="s">
        <v>16</v>
      </c>
      <c r="Q8" s="15" t="s">
        <v>17</v>
      </c>
      <c r="R8" s="15" t="s">
        <v>18</v>
      </c>
      <c r="S8" s="15" t="s">
        <v>19</v>
      </c>
      <c r="T8" s="15" t="s">
        <v>20</v>
      </c>
      <c r="U8" s="15" t="s">
        <v>21</v>
      </c>
      <c r="V8" s="15" t="s">
        <v>22</v>
      </c>
      <c r="W8" s="15" t="s">
        <v>44</v>
      </c>
      <c r="X8" s="15" t="s">
        <v>45</v>
      </c>
      <c r="Y8" s="15" t="s">
        <v>46</v>
      </c>
      <c r="Z8" s="15" t="s">
        <v>47</v>
      </c>
      <c r="AA8" s="15" t="s">
        <v>48</v>
      </c>
      <c r="AB8" s="15" t="s">
        <v>49</v>
      </c>
      <c r="AC8" s="15" t="s">
        <v>50</v>
      </c>
      <c r="AD8" s="15" t="s">
        <v>51</v>
      </c>
      <c r="AE8" s="15" t="s">
        <v>53</v>
      </c>
      <c r="AF8" s="4"/>
    </row>
    <row r="9" spans="1:45" ht="13.5" customHeight="1" x14ac:dyDescent="0.2">
      <c r="A9" s="2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4"/>
    </row>
    <row r="10" spans="1:45" ht="13.5" customHeight="1" x14ac:dyDescent="0.2">
      <c r="A10" s="2"/>
      <c r="B10" s="17" t="s">
        <v>23</v>
      </c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9"/>
      <c r="AG10" s="10"/>
      <c r="AH10" s="10"/>
      <c r="AI10" s="10"/>
      <c r="AJ10" s="10"/>
      <c r="AK10" s="20"/>
      <c r="AL10" s="20"/>
      <c r="AM10" s="20"/>
      <c r="AN10" s="20"/>
      <c r="AO10" s="20"/>
      <c r="AP10" s="20"/>
      <c r="AQ10" s="20"/>
      <c r="AR10" s="20"/>
      <c r="AS10" s="20"/>
    </row>
    <row r="11" spans="1:45" ht="13.5" customHeight="1" x14ac:dyDescent="0.2">
      <c r="A11" s="2"/>
      <c r="C11" s="1" t="s">
        <v>24</v>
      </c>
      <c r="D11" s="21">
        <v>38938</v>
      </c>
      <c r="E11" s="21">
        <v>43335</v>
      </c>
      <c r="F11" s="21">
        <v>45448</v>
      </c>
      <c r="G11" s="21">
        <v>53875</v>
      </c>
      <c r="H11" s="21">
        <v>65420</v>
      </c>
      <c r="I11" s="21">
        <v>68435</v>
      </c>
      <c r="J11" s="21">
        <v>77742</v>
      </c>
      <c r="K11" s="21">
        <v>84211</v>
      </c>
      <c r="L11" s="21">
        <v>90304</v>
      </c>
      <c r="M11" s="21">
        <v>96038</v>
      </c>
      <c r="N11" s="21">
        <v>101732</v>
      </c>
      <c r="O11" s="21">
        <v>108328</v>
      </c>
      <c r="P11" s="21">
        <v>108131</v>
      </c>
      <c r="Q11" s="21">
        <v>118998</v>
      </c>
      <c r="R11" s="21">
        <v>113362</v>
      </c>
      <c r="S11" s="21">
        <v>113072</v>
      </c>
      <c r="T11" s="21">
        <v>110446</v>
      </c>
      <c r="U11" s="21">
        <v>108305</v>
      </c>
      <c r="V11" s="21">
        <v>102784</v>
      </c>
      <c r="W11" s="21">
        <v>102852</v>
      </c>
      <c r="X11" s="21">
        <v>116337</v>
      </c>
      <c r="Y11" s="21">
        <v>122821</v>
      </c>
      <c r="Z11" s="21">
        <v>125961</v>
      </c>
      <c r="AA11" s="21">
        <v>128293</v>
      </c>
      <c r="AB11" s="21">
        <v>137029</v>
      </c>
      <c r="AC11" s="21">
        <v>145070</v>
      </c>
      <c r="AD11" s="21">
        <v>161723</v>
      </c>
      <c r="AE11" s="21">
        <v>188337</v>
      </c>
      <c r="AF11" s="4"/>
    </row>
    <row r="12" spans="1:45" ht="13.5" customHeight="1" x14ac:dyDescent="0.2">
      <c r="A12" s="2"/>
      <c r="C12" s="1" t="s">
        <v>25</v>
      </c>
      <c r="D12" s="22">
        <v>15260</v>
      </c>
      <c r="E12" s="22">
        <v>15631</v>
      </c>
      <c r="F12" s="22">
        <v>16978</v>
      </c>
      <c r="G12" s="22">
        <v>17031</v>
      </c>
      <c r="H12" s="22">
        <v>17361</v>
      </c>
      <c r="I12" s="22">
        <v>16154</v>
      </c>
      <c r="J12" s="22">
        <v>17048</v>
      </c>
      <c r="K12" s="22">
        <v>21885</v>
      </c>
      <c r="L12" s="22">
        <v>22807</v>
      </c>
      <c r="M12" s="22">
        <v>26396</v>
      </c>
      <c r="N12" s="22">
        <v>16850</v>
      </c>
      <c r="O12" s="22">
        <v>18714</v>
      </c>
      <c r="P12" s="22">
        <v>15715</v>
      </c>
      <c r="Q12" s="22">
        <v>20948</v>
      </c>
      <c r="R12" s="22">
        <v>3285</v>
      </c>
      <c r="S12" s="22">
        <v>3180</v>
      </c>
      <c r="T12" s="22">
        <v>2987</v>
      </c>
      <c r="U12" s="22">
        <v>3077</v>
      </c>
      <c r="V12" s="22">
        <v>2019</v>
      </c>
      <c r="W12" s="22">
        <v>2029</v>
      </c>
      <c r="X12" s="22">
        <v>16277</v>
      </c>
      <c r="Y12" s="22">
        <v>14457</v>
      </c>
      <c r="Z12" s="22">
        <v>15965</v>
      </c>
      <c r="AA12" s="22">
        <v>17934</v>
      </c>
      <c r="AB12" s="22">
        <v>23326</v>
      </c>
      <c r="AC12" s="22">
        <v>39641</v>
      </c>
      <c r="AD12" s="22">
        <v>35078</v>
      </c>
      <c r="AE12" s="22">
        <v>57945</v>
      </c>
      <c r="AF12" s="4"/>
    </row>
    <row r="13" spans="1:45" ht="13.5" customHeight="1" x14ac:dyDescent="0.2">
      <c r="A13" s="2"/>
      <c r="C13" s="1" t="s">
        <v>26</v>
      </c>
      <c r="D13" s="22">
        <v>3158</v>
      </c>
      <c r="E13" s="22">
        <v>3777</v>
      </c>
      <c r="F13" s="22">
        <v>4348</v>
      </c>
      <c r="G13" s="22">
        <v>3832</v>
      </c>
      <c r="H13" s="22">
        <v>4007</v>
      </c>
      <c r="I13" s="22">
        <v>4654</v>
      </c>
      <c r="J13" s="22">
        <v>5042</v>
      </c>
      <c r="K13" s="22">
        <v>4802</v>
      </c>
      <c r="L13" s="22">
        <v>4177</v>
      </c>
      <c r="M13" s="22">
        <v>3918</v>
      </c>
      <c r="N13" s="22">
        <v>2848</v>
      </c>
      <c r="O13" s="22">
        <v>1937</v>
      </c>
      <c r="P13" s="22">
        <v>2140</v>
      </c>
      <c r="Q13" s="22">
        <v>4559</v>
      </c>
      <c r="R13" s="22">
        <v>7120</v>
      </c>
      <c r="S13" s="22">
        <v>6462</v>
      </c>
      <c r="T13" s="22">
        <v>6986</v>
      </c>
      <c r="U13" s="22">
        <v>7280</v>
      </c>
      <c r="V13" s="22">
        <v>6707</v>
      </c>
      <c r="W13" s="22">
        <v>5429</v>
      </c>
      <c r="X13" s="22">
        <v>8132</v>
      </c>
      <c r="Y13" s="22">
        <v>10784</v>
      </c>
      <c r="Z13" s="22">
        <v>11101</v>
      </c>
      <c r="AA13" s="22">
        <v>15142</v>
      </c>
      <c r="AB13" s="22">
        <v>13592</v>
      </c>
      <c r="AC13" s="22">
        <v>14419</v>
      </c>
      <c r="AD13" s="22">
        <v>17528</v>
      </c>
      <c r="AE13" s="22">
        <v>15771</v>
      </c>
      <c r="AF13" s="4"/>
    </row>
    <row r="14" spans="1:45" ht="13.5" customHeight="1" x14ac:dyDescent="0.2">
      <c r="A14" s="2"/>
      <c r="C14" s="1" t="s">
        <v>27</v>
      </c>
      <c r="D14" s="22">
        <v>55148</v>
      </c>
      <c r="E14" s="22">
        <v>61397</v>
      </c>
      <c r="F14" s="22">
        <v>63165</v>
      </c>
      <c r="G14" s="22">
        <v>67631</v>
      </c>
      <c r="H14" s="22">
        <v>62769</v>
      </c>
      <c r="I14" s="22">
        <v>78842</v>
      </c>
      <c r="J14" s="22">
        <v>71132</v>
      </c>
      <c r="K14" s="22">
        <v>89126</v>
      </c>
      <c r="L14" s="22">
        <v>95769</v>
      </c>
      <c r="M14" s="22">
        <v>89543</v>
      </c>
      <c r="N14" s="22">
        <v>88589</v>
      </c>
      <c r="O14" s="22">
        <v>91203</v>
      </c>
      <c r="P14" s="22">
        <v>107782</v>
      </c>
      <c r="Q14" s="22">
        <v>90934</v>
      </c>
      <c r="R14" s="22">
        <f>101562*0.95</f>
        <v>96483.9</v>
      </c>
      <c r="S14" s="22">
        <f>97083*0.95</f>
        <v>92228.849999999991</v>
      </c>
      <c r="T14" s="22">
        <v>105156</v>
      </c>
      <c r="U14" s="22">
        <v>102932</v>
      </c>
      <c r="V14" s="22">
        <v>106060</v>
      </c>
      <c r="W14" s="22">
        <v>117159</v>
      </c>
      <c r="X14" s="22">
        <v>103562</v>
      </c>
      <c r="Y14" s="22">
        <v>109609</v>
      </c>
      <c r="Z14" s="22">
        <v>111622</v>
      </c>
      <c r="AA14" s="22">
        <v>115741</v>
      </c>
      <c r="AB14" s="22">
        <v>118248</v>
      </c>
      <c r="AC14" s="22">
        <v>143227</v>
      </c>
      <c r="AD14" s="22">
        <v>169836</v>
      </c>
      <c r="AE14" s="22">
        <v>137808</v>
      </c>
      <c r="AF14" s="4"/>
    </row>
    <row r="15" spans="1:45" ht="13.5" customHeight="1" x14ac:dyDescent="0.2">
      <c r="A15" s="2"/>
      <c r="C15" s="1" t="s">
        <v>28</v>
      </c>
      <c r="D15" s="23">
        <v>6575</v>
      </c>
      <c r="E15" s="23">
        <v>4039</v>
      </c>
      <c r="F15" s="23">
        <v>6122</v>
      </c>
      <c r="G15" s="23">
        <v>6633</v>
      </c>
      <c r="H15" s="23">
        <v>9304</v>
      </c>
      <c r="I15" s="23">
        <v>6697</v>
      </c>
      <c r="J15" s="23">
        <v>6047</v>
      </c>
      <c r="K15" s="23">
        <v>5187</v>
      </c>
      <c r="L15" s="23">
        <v>4493</v>
      </c>
      <c r="M15" s="23">
        <v>4823</v>
      </c>
      <c r="N15" s="23">
        <v>5221</v>
      </c>
      <c r="O15" s="23">
        <v>8472</v>
      </c>
      <c r="P15" s="23">
        <v>10871</v>
      </c>
      <c r="Q15" s="23">
        <v>9619</v>
      </c>
      <c r="R15" s="23">
        <f>8136+1217</f>
        <v>9353</v>
      </c>
      <c r="S15" s="23">
        <f>6216+1339</f>
        <v>7555</v>
      </c>
      <c r="T15" s="23">
        <f>7631+1769</f>
        <v>9400</v>
      </c>
      <c r="U15" s="23">
        <f>9348+1818</f>
        <v>11166</v>
      </c>
      <c r="V15" s="23">
        <f>10536+5507</f>
        <v>16043</v>
      </c>
      <c r="W15" s="23">
        <f>9656+6305</f>
        <v>15961</v>
      </c>
      <c r="X15" s="23">
        <v>18611</v>
      </c>
      <c r="Y15" s="23">
        <v>14535</v>
      </c>
      <c r="Z15" s="23">
        <v>10560</v>
      </c>
      <c r="AA15" s="23">
        <v>11391</v>
      </c>
      <c r="AB15" s="23">
        <v>11711</v>
      </c>
      <c r="AC15" s="23">
        <v>12143</v>
      </c>
      <c r="AD15" s="23">
        <v>13656</v>
      </c>
      <c r="AE15" s="23">
        <v>14729</v>
      </c>
      <c r="AF15" s="4"/>
    </row>
    <row r="16" spans="1:45" ht="13.5" customHeight="1" x14ac:dyDescent="0.2">
      <c r="A16" s="2"/>
      <c r="D16" s="21">
        <f t="shared" ref="D16:I16" si="0">SUM(D11:D15)</f>
        <v>119079</v>
      </c>
      <c r="E16" s="21">
        <f t="shared" si="0"/>
        <v>128179</v>
      </c>
      <c r="F16" s="21">
        <f t="shared" si="0"/>
        <v>136061</v>
      </c>
      <c r="G16" s="21">
        <f t="shared" si="0"/>
        <v>149002</v>
      </c>
      <c r="H16" s="21">
        <f t="shared" si="0"/>
        <v>158861</v>
      </c>
      <c r="I16" s="21">
        <f t="shared" si="0"/>
        <v>174782</v>
      </c>
      <c r="J16" s="21">
        <f t="shared" ref="J16:Q16" si="1">SUM(J11:J15)</f>
        <v>177011</v>
      </c>
      <c r="K16" s="21">
        <f t="shared" si="1"/>
        <v>205211</v>
      </c>
      <c r="L16" s="21">
        <f t="shared" si="1"/>
        <v>217550</v>
      </c>
      <c r="M16" s="21">
        <f t="shared" si="1"/>
        <v>220718</v>
      </c>
      <c r="N16" s="21">
        <f t="shared" si="1"/>
        <v>215240</v>
      </c>
      <c r="O16" s="21">
        <f t="shared" si="1"/>
        <v>228654</v>
      </c>
      <c r="P16" s="21">
        <f t="shared" si="1"/>
        <v>244639</v>
      </c>
      <c r="Q16" s="21">
        <f t="shared" si="1"/>
        <v>245058</v>
      </c>
      <c r="R16" s="21">
        <f t="shared" ref="R16:X16" si="2">SUM(R11:R15)</f>
        <v>229603.9</v>
      </c>
      <c r="S16" s="21">
        <f t="shared" si="2"/>
        <v>222497.84999999998</v>
      </c>
      <c r="T16" s="21">
        <f t="shared" si="2"/>
        <v>234975</v>
      </c>
      <c r="U16" s="21">
        <f t="shared" si="2"/>
        <v>232760</v>
      </c>
      <c r="V16" s="21">
        <f t="shared" si="2"/>
        <v>233613</v>
      </c>
      <c r="W16" s="21">
        <f t="shared" si="2"/>
        <v>243430</v>
      </c>
      <c r="X16" s="21">
        <f t="shared" si="2"/>
        <v>262919</v>
      </c>
      <c r="Y16" s="21">
        <f t="shared" ref="Y16:Z16" si="3">SUM(Y11:Y15)</f>
        <v>272206</v>
      </c>
      <c r="Z16" s="21">
        <f t="shared" si="3"/>
        <v>275209</v>
      </c>
      <c r="AA16" s="21">
        <f t="shared" ref="AA16:AB16" si="4">SUM(AA11:AA15)</f>
        <v>288501</v>
      </c>
      <c r="AB16" s="21">
        <f t="shared" si="4"/>
        <v>303906</v>
      </c>
      <c r="AC16" s="21">
        <f t="shared" ref="AC16:AD16" si="5">SUM(AC11:AC15)</f>
        <v>354500</v>
      </c>
      <c r="AD16" s="21">
        <f t="shared" si="5"/>
        <v>397821</v>
      </c>
      <c r="AE16" s="21">
        <f t="shared" ref="AE16" si="6">SUM(AE11:AE15)</f>
        <v>414590</v>
      </c>
      <c r="AF16" s="4"/>
    </row>
    <row r="17" spans="1:35" ht="13.5" customHeight="1" x14ac:dyDescent="0.2">
      <c r="A17" s="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4"/>
    </row>
    <row r="18" spans="1:35" ht="13.5" customHeight="1" x14ac:dyDescent="0.2">
      <c r="A18" s="2"/>
      <c r="B18" s="17" t="s">
        <v>29</v>
      </c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4"/>
    </row>
    <row r="19" spans="1:35" ht="13.5" customHeight="1" x14ac:dyDescent="0.2">
      <c r="A19" s="2"/>
      <c r="C19" s="1" t="s">
        <v>24</v>
      </c>
      <c r="D19" s="21"/>
      <c r="E19" s="21"/>
      <c r="F19" s="21"/>
      <c r="G19" s="21">
        <v>804</v>
      </c>
      <c r="H19" s="21">
        <v>766</v>
      </c>
      <c r="I19" s="21">
        <v>762</v>
      </c>
      <c r="J19" s="21">
        <v>1050</v>
      </c>
      <c r="K19" s="21">
        <v>2586</v>
      </c>
      <c r="L19" s="21">
        <v>4113</v>
      </c>
      <c r="M19" s="21">
        <v>8757</v>
      </c>
      <c r="N19" s="21">
        <v>8264</v>
      </c>
      <c r="O19" s="21">
        <v>11217</v>
      </c>
      <c r="P19" s="21">
        <v>4683</v>
      </c>
      <c r="Q19" s="21">
        <v>5798</v>
      </c>
      <c r="R19" s="21">
        <v>3603</v>
      </c>
      <c r="S19" s="21">
        <v>3331</v>
      </c>
      <c r="T19" s="21">
        <v>3899</v>
      </c>
      <c r="U19" s="21">
        <v>3205</v>
      </c>
      <c r="V19" s="21">
        <v>2126</v>
      </c>
      <c r="W19" s="21">
        <v>2163</v>
      </c>
      <c r="X19" s="21">
        <v>9734</v>
      </c>
      <c r="Y19" s="21">
        <v>11704</v>
      </c>
      <c r="Z19" s="21">
        <v>11865</v>
      </c>
      <c r="AA19" s="21">
        <v>11488</v>
      </c>
      <c r="AB19" s="21">
        <v>19161</v>
      </c>
      <c r="AC19" s="21">
        <v>18506</v>
      </c>
      <c r="AD19" s="21">
        <v>20709</v>
      </c>
      <c r="AE19" s="21">
        <v>28754</v>
      </c>
      <c r="AF19" s="4"/>
    </row>
    <row r="20" spans="1:35" ht="13.5" customHeight="1" x14ac:dyDescent="0.2">
      <c r="A20" s="2"/>
      <c r="C20" s="1" t="s">
        <v>25</v>
      </c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>
        <v>0</v>
      </c>
      <c r="S20" s="22">
        <v>0</v>
      </c>
      <c r="T20" s="22">
        <v>0</v>
      </c>
      <c r="U20" s="22">
        <v>0</v>
      </c>
      <c r="V20" s="22">
        <v>0</v>
      </c>
      <c r="W20" s="22">
        <v>0</v>
      </c>
      <c r="X20" s="22">
        <v>41</v>
      </c>
      <c r="Y20" s="22">
        <v>109</v>
      </c>
      <c r="Z20" s="22">
        <v>97</v>
      </c>
      <c r="AA20" s="22">
        <v>2141</v>
      </c>
      <c r="AB20" s="22">
        <v>1674</v>
      </c>
      <c r="AC20" s="22">
        <v>295</v>
      </c>
      <c r="AD20" s="22">
        <v>495</v>
      </c>
      <c r="AE20" s="22">
        <v>7923</v>
      </c>
      <c r="AF20" s="4"/>
    </row>
    <row r="21" spans="1:35" ht="13.5" customHeight="1" x14ac:dyDescent="0.2">
      <c r="A21" s="2"/>
      <c r="C21" s="1" t="s">
        <v>26</v>
      </c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>
        <v>11</v>
      </c>
      <c r="S21" s="22">
        <v>70</v>
      </c>
      <c r="T21" s="22">
        <v>1</v>
      </c>
      <c r="U21" s="22">
        <v>0</v>
      </c>
      <c r="V21" s="22">
        <v>0</v>
      </c>
      <c r="W21" s="22">
        <v>0</v>
      </c>
      <c r="X21" s="22">
        <v>68</v>
      </c>
      <c r="Y21" s="22">
        <v>14</v>
      </c>
      <c r="Z21" s="22">
        <v>105</v>
      </c>
      <c r="AA21" s="22">
        <v>152</v>
      </c>
      <c r="AB21" s="22">
        <v>157</v>
      </c>
      <c r="AC21" s="22">
        <v>69</v>
      </c>
      <c r="AD21" s="22">
        <v>80</v>
      </c>
      <c r="AE21" s="22">
        <v>45</v>
      </c>
      <c r="AF21" s="4"/>
    </row>
    <row r="22" spans="1:35" ht="13.5" customHeight="1" x14ac:dyDescent="0.2">
      <c r="A22" s="2"/>
      <c r="C22" s="1" t="s">
        <v>27</v>
      </c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>
        <f>101562*0.05</f>
        <v>5078.1000000000004</v>
      </c>
      <c r="S22" s="22">
        <f>97083*0.05</f>
        <v>4854.1500000000005</v>
      </c>
      <c r="T22" s="22">
        <v>830</v>
      </c>
      <c r="U22" s="22">
        <v>351</v>
      </c>
      <c r="V22" s="22">
        <v>1505</v>
      </c>
      <c r="W22" s="22">
        <v>1034</v>
      </c>
      <c r="X22" s="22">
        <v>6663</v>
      </c>
      <c r="Y22" s="22">
        <v>8780</v>
      </c>
      <c r="Z22" s="22">
        <v>7006</v>
      </c>
      <c r="AA22" s="22">
        <v>7178</v>
      </c>
      <c r="AB22" s="22">
        <v>5376</v>
      </c>
      <c r="AC22" s="22">
        <v>13804</v>
      </c>
      <c r="AD22" s="22">
        <v>11254</v>
      </c>
      <c r="AE22" s="22">
        <v>8403</v>
      </c>
      <c r="AF22" s="4"/>
    </row>
    <row r="23" spans="1:35" ht="13.5" customHeight="1" x14ac:dyDescent="0.2">
      <c r="A23" s="2"/>
      <c r="C23" s="1" t="s">
        <v>28</v>
      </c>
      <c r="D23" s="22"/>
      <c r="E23" s="22"/>
      <c r="F23" s="22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>
        <f>198+6</f>
        <v>204</v>
      </c>
      <c r="S23" s="23">
        <f>204+0</f>
        <v>204</v>
      </c>
      <c r="T23" s="23">
        <f>105+0</f>
        <v>105</v>
      </c>
      <c r="U23" s="23">
        <f>107+0</f>
        <v>107</v>
      </c>
      <c r="V23" s="23">
        <f>19+3</f>
        <v>22</v>
      </c>
      <c r="W23" s="23">
        <f>57+0</f>
        <v>57</v>
      </c>
      <c r="X23" s="23">
        <v>626</v>
      </c>
      <c r="Y23" s="23">
        <v>203</v>
      </c>
      <c r="Z23" s="23">
        <v>201</v>
      </c>
      <c r="AA23" s="23">
        <v>961</v>
      </c>
      <c r="AB23" s="23">
        <v>1906</v>
      </c>
      <c r="AC23" s="23">
        <v>1605</v>
      </c>
      <c r="AD23" s="23">
        <v>1951</v>
      </c>
      <c r="AE23" s="23">
        <v>2720</v>
      </c>
      <c r="AF23" s="4"/>
    </row>
    <row r="24" spans="1:35" ht="13.5" customHeight="1" x14ac:dyDescent="0.2">
      <c r="A24" s="2"/>
      <c r="D24" s="21"/>
      <c r="E24" s="21"/>
      <c r="F24" s="21"/>
      <c r="G24" s="21">
        <v>4912</v>
      </c>
      <c r="H24" s="21">
        <v>4927</v>
      </c>
      <c r="I24" s="21">
        <v>5969</v>
      </c>
      <c r="J24" s="21">
        <v>5488</v>
      </c>
      <c r="K24" s="21">
        <v>6944</v>
      </c>
      <c r="L24" s="21">
        <v>10042</v>
      </c>
      <c r="M24" s="21">
        <v>13616</v>
      </c>
      <c r="N24" s="21">
        <v>15930</v>
      </c>
      <c r="O24" s="21">
        <v>15775</v>
      </c>
      <c r="P24" s="21">
        <v>7255</v>
      </c>
      <c r="Q24" s="21">
        <v>8469</v>
      </c>
      <c r="R24" s="21">
        <f t="shared" ref="R24:X24" si="7">SUM(R19:R23)</f>
        <v>8896.1</v>
      </c>
      <c r="S24" s="21">
        <f t="shared" si="7"/>
        <v>8459.1500000000015</v>
      </c>
      <c r="T24" s="21">
        <f t="shared" si="7"/>
        <v>4835</v>
      </c>
      <c r="U24" s="21">
        <f t="shared" si="7"/>
        <v>3663</v>
      </c>
      <c r="V24" s="21">
        <f t="shared" si="7"/>
        <v>3653</v>
      </c>
      <c r="W24" s="21">
        <f t="shared" si="7"/>
        <v>3254</v>
      </c>
      <c r="X24" s="21">
        <f t="shared" si="7"/>
        <v>17132</v>
      </c>
      <c r="Y24" s="21">
        <f t="shared" ref="Y24:Z24" si="8">SUM(Y19:Y23)</f>
        <v>20810</v>
      </c>
      <c r="Z24" s="21">
        <f t="shared" si="8"/>
        <v>19274</v>
      </c>
      <c r="AA24" s="21">
        <f t="shared" ref="AA24:AB24" si="9">SUM(AA19:AA23)</f>
        <v>21920</v>
      </c>
      <c r="AB24" s="21">
        <f t="shared" si="9"/>
        <v>28274</v>
      </c>
      <c r="AC24" s="21">
        <f t="shared" ref="AC24:AD24" si="10">SUM(AC19:AC23)</f>
        <v>34279</v>
      </c>
      <c r="AD24" s="21">
        <f t="shared" si="10"/>
        <v>34489</v>
      </c>
      <c r="AE24" s="21">
        <f t="shared" ref="AE24" si="11">SUM(AE19:AE23)</f>
        <v>47845</v>
      </c>
      <c r="AF24" s="4"/>
    </row>
    <row r="25" spans="1:35" ht="13.5" customHeight="1" x14ac:dyDescent="0.2">
      <c r="A25" s="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4"/>
    </row>
    <row r="26" spans="1:35" ht="13.5" customHeight="1" x14ac:dyDescent="0.2">
      <c r="A26" s="2"/>
      <c r="B26" s="17" t="s">
        <v>30</v>
      </c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4"/>
    </row>
    <row r="27" spans="1:35" ht="13.5" customHeight="1" x14ac:dyDescent="0.2">
      <c r="A27" s="2"/>
      <c r="C27" s="1" t="s">
        <v>24</v>
      </c>
      <c r="D27" s="21"/>
      <c r="E27" s="21"/>
      <c r="F27" s="21"/>
      <c r="G27" s="21">
        <f>G11+G19</f>
        <v>54679</v>
      </c>
      <c r="H27" s="21">
        <f>H11+H19</f>
        <v>66186</v>
      </c>
      <c r="I27" s="21">
        <f>I11+I19</f>
        <v>69197</v>
      </c>
      <c r="J27" s="21">
        <f t="shared" ref="J27:V31" si="12">J11+J19</f>
        <v>78792</v>
      </c>
      <c r="K27" s="21">
        <f t="shared" si="12"/>
        <v>86797</v>
      </c>
      <c r="L27" s="21">
        <f t="shared" si="12"/>
        <v>94417</v>
      </c>
      <c r="M27" s="21">
        <f t="shared" si="12"/>
        <v>104795</v>
      </c>
      <c r="N27" s="21">
        <f t="shared" si="12"/>
        <v>109996</v>
      </c>
      <c r="O27" s="21">
        <f t="shared" si="12"/>
        <v>119545</v>
      </c>
      <c r="P27" s="21">
        <f t="shared" si="12"/>
        <v>112814</v>
      </c>
      <c r="Q27" s="21">
        <f t="shared" si="12"/>
        <v>124796</v>
      </c>
      <c r="R27" s="21">
        <f t="shared" si="12"/>
        <v>116965</v>
      </c>
      <c r="S27" s="21">
        <f t="shared" si="12"/>
        <v>116403</v>
      </c>
      <c r="T27" s="21">
        <f t="shared" si="12"/>
        <v>114345</v>
      </c>
      <c r="U27" s="21">
        <f t="shared" si="12"/>
        <v>111510</v>
      </c>
      <c r="V27" s="21">
        <f t="shared" si="12"/>
        <v>104910</v>
      </c>
      <c r="W27" s="21">
        <f t="shared" ref="W27:X27" si="13">W11+W19</f>
        <v>105015</v>
      </c>
      <c r="X27" s="21">
        <f t="shared" si="13"/>
        <v>126071</v>
      </c>
      <c r="Y27" s="21">
        <f t="shared" ref="Y27:Z27" si="14">Y11+Y19</f>
        <v>134525</v>
      </c>
      <c r="Z27" s="21">
        <f t="shared" si="14"/>
        <v>137826</v>
      </c>
      <c r="AA27" s="21">
        <f t="shared" ref="AA27:AB27" si="15">AA11+AA19</f>
        <v>139781</v>
      </c>
      <c r="AB27" s="21">
        <f t="shared" si="15"/>
        <v>156190</v>
      </c>
      <c r="AC27" s="21">
        <f t="shared" ref="AC27:AD27" si="16">AC11+AC19</f>
        <v>163576</v>
      </c>
      <c r="AD27" s="21">
        <f t="shared" si="16"/>
        <v>182432</v>
      </c>
      <c r="AE27" s="21">
        <f t="shared" ref="AE27" si="17">AE11+AE19</f>
        <v>217091</v>
      </c>
      <c r="AF27" s="4"/>
    </row>
    <row r="28" spans="1:35" ht="13.5" customHeight="1" x14ac:dyDescent="0.2">
      <c r="A28" s="2"/>
      <c r="C28" s="1" t="s">
        <v>25</v>
      </c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>
        <f t="shared" si="12"/>
        <v>3285</v>
      </c>
      <c r="S28" s="22">
        <f t="shared" si="12"/>
        <v>3180</v>
      </c>
      <c r="T28" s="22">
        <f t="shared" si="12"/>
        <v>2987</v>
      </c>
      <c r="U28" s="22">
        <f t="shared" si="12"/>
        <v>3077</v>
      </c>
      <c r="V28" s="22">
        <f t="shared" si="12"/>
        <v>2019</v>
      </c>
      <c r="W28" s="22">
        <f t="shared" ref="W28:X28" si="18">W12+W20</f>
        <v>2029</v>
      </c>
      <c r="X28" s="22">
        <f t="shared" si="18"/>
        <v>16318</v>
      </c>
      <c r="Y28" s="22">
        <f t="shared" ref="Y28:Z28" si="19">Y12+Y20</f>
        <v>14566</v>
      </c>
      <c r="Z28" s="22">
        <f t="shared" si="19"/>
        <v>16062</v>
      </c>
      <c r="AA28" s="22">
        <f>AA12+AA20</f>
        <v>20075</v>
      </c>
      <c r="AB28" s="22">
        <f t="shared" ref="AB28:AC28" si="20">AB12+AB20</f>
        <v>25000</v>
      </c>
      <c r="AC28" s="22">
        <f t="shared" si="20"/>
        <v>39936</v>
      </c>
      <c r="AD28" s="22">
        <f t="shared" ref="AD28:AE28" si="21">AD12+AD20</f>
        <v>35573</v>
      </c>
      <c r="AE28" s="22">
        <f t="shared" si="21"/>
        <v>65868</v>
      </c>
      <c r="AF28" s="4"/>
    </row>
    <row r="29" spans="1:35" ht="13.5" customHeight="1" x14ac:dyDescent="0.2">
      <c r="A29" s="2"/>
      <c r="C29" s="1" t="s">
        <v>26</v>
      </c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>
        <f t="shared" si="12"/>
        <v>7131</v>
      </c>
      <c r="S29" s="22">
        <f t="shared" si="12"/>
        <v>6532</v>
      </c>
      <c r="T29" s="22">
        <f t="shared" si="12"/>
        <v>6987</v>
      </c>
      <c r="U29" s="22">
        <f t="shared" si="12"/>
        <v>7280</v>
      </c>
      <c r="V29" s="22">
        <f t="shared" si="12"/>
        <v>6707</v>
      </c>
      <c r="W29" s="22">
        <f t="shared" ref="W29:X29" si="22">W13+W21</f>
        <v>5429</v>
      </c>
      <c r="X29" s="22">
        <f t="shared" si="22"/>
        <v>8200</v>
      </c>
      <c r="Y29" s="22">
        <f t="shared" ref="Y29:Z29" si="23">Y13+Y21</f>
        <v>10798</v>
      </c>
      <c r="Z29" s="22">
        <f t="shared" si="23"/>
        <v>11206</v>
      </c>
      <c r="AA29" s="22">
        <f t="shared" ref="AA29:AB29" si="24">AA13+AA21</f>
        <v>15294</v>
      </c>
      <c r="AB29" s="22">
        <f t="shared" si="24"/>
        <v>13749</v>
      </c>
      <c r="AC29" s="22">
        <f t="shared" ref="AC29:AD29" si="25">AC13+AC21</f>
        <v>14488</v>
      </c>
      <c r="AD29" s="22">
        <f t="shared" si="25"/>
        <v>17608</v>
      </c>
      <c r="AE29" s="22">
        <f t="shared" ref="AE29" si="26">AE13+AE21</f>
        <v>15816</v>
      </c>
      <c r="AF29" s="4"/>
    </row>
    <row r="30" spans="1:35" ht="13.5" customHeight="1" x14ac:dyDescent="0.2">
      <c r="A30" s="2"/>
      <c r="C30" s="1" t="s">
        <v>31</v>
      </c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>
        <f t="shared" si="12"/>
        <v>101562</v>
      </c>
      <c r="S30" s="22">
        <f t="shared" si="12"/>
        <v>97082.999999999985</v>
      </c>
      <c r="T30" s="22">
        <f t="shared" si="12"/>
        <v>105986</v>
      </c>
      <c r="U30" s="22">
        <f t="shared" si="12"/>
        <v>103283</v>
      </c>
      <c r="V30" s="22">
        <f t="shared" si="12"/>
        <v>107565</v>
      </c>
      <c r="W30" s="22">
        <f t="shared" ref="W30:X30" si="27">W14+W22</f>
        <v>118193</v>
      </c>
      <c r="X30" s="22">
        <f t="shared" si="27"/>
        <v>110225</v>
      </c>
      <c r="Y30" s="22">
        <f t="shared" ref="Y30:Z30" si="28">Y14+Y22</f>
        <v>118389</v>
      </c>
      <c r="Z30" s="22">
        <f t="shared" si="28"/>
        <v>118628</v>
      </c>
      <c r="AA30" s="22">
        <f t="shared" ref="AA30:AB30" si="29">AA14+AA22</f>
        <v>122919</v>
      </c>
      <c r="AB30" s="22">
        <f t="shared" si="29"/>
        <v>123624</v>
      </c>
      <c r="AC30" s="22">
        <f t="shared" ref="AC30:AD30" si="30">AC14+AC22</f>
        <v>157031</v>
      </c>
      <c r="AD30" s="22">
        <f t="shared" si="30"/>
        <v>181090</v>
      </c>
      <c r="AE30" s="22">
        <f t="shared" ref="AE30" si="31">AE14+AE22</f>
        <v>146211</v>
      </c>
      <c r="AF30" s="4"/>
    </row>
    <row r="31" spans="1:35" ht="13.5" customHeight="1" x14ac:dyDescent="0.2">
      <c r="A31" s="2"/>
      <c r="C31" s="1" t="s">
        <v>28</v>
      </c>
      <c r="D31" s="22"/>
      <c r="E31" s="22"/>
      <c r="F31" s="22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>
        <f t="shared" si="12"/>
        <v>9557</v>
      </c>
      <c r="S31" s="23">
        <f t="shared" si="12"/>
        <v>7759</v>
      </c>
      <c r="T31" s="23">
        <f t="shared" si="12"/>
        <v>9505</v>
      </c>
      <c r="U31" s="23">
        <f t="shared" si="12"/>
        <v>11273</v>
      </c>
      <c r="V31" s="23">
        <f t="shared" si="12"/>
        <v>16065</v>
      </c>
      <c r="W31" s="23">
        <f t="shared" ref="W31:X31" si="32">W15+W23</f>
        <v>16018</v>
      </c>
      <c r="X31" s="23">
        <f t="shared" si="32"/>
        <v>19237</v>
      </c>
      <c r="Y31" s="23">
        <f t="shared" ref="Y31:Z31" si="33">Y15+Y23</f>
        <v>14738</v>
      </c>
      <c r="Z31" s="23">
        <f t="shared" si="33"/>
        <v>10761</v>
      </c>
      <c r="AA31" s="23">
        <f t="shared" ref="AA31:AB31" si="34">AA15+AA23</f>
        <v>12352</v>
      </c>
      <c r="AB31" s="23">
        <f t="shared" si="34"/>
        <v>13617</v>
      </c>
      <c r="AC31" s="23">
        <f t="shared" ref="AC31:AD31" si="35">AC15+AC23</f>
        <v>13748</v>
      </c>
      <c r="AD31" s="23">
        <f t="shared" si="35"/>
        <v>15607</v>
      </c>
      <c r="AE31" s="23">
        <f t="shared" ref="AE31" si="36">AE15+AE23</f>
        <v>17449</v>
      </c>
      <c r="AF31" s="4"/>
    </row>
    <row r="32" spans="1:35" ht="13.5" customHeight="1" x14ac:dyDescent="0.2">
      <c r="A32" s="2"/>
      <c r="D32" s="21"/>
      <c r="E32" s="21"/>
      <c r="F32" s="21"/>
      <c r="G32" s="21">
        <f>G16+G24</f>
        <v>153914</v>
      </c>
      <c r="H32" s="21">
        <f>H16+H24</f>
        <v>163788</v>
      </c>
      <c r="I32" s="21">
        <f>I16+I24</f>
        <v>180751</v>
      </c>
      <c r="J32" s="21">
        <f t="shared" ref="J32:O32" si="37">J16+J24</f>
        <v>182499</v>
      </c>
      <c r="K32" s="21">
        <f t="shared" si="37"/>
        <v>212155</v>
      </c>
      <c r="L32" s="21">
        <f t="shared" si="37"/>
        <v>227592</v>
      </c>
      <c r="M32" s="21">
        <f t="shared" si="37"/>
        <v>234334</v>
      </c>
      <c r="N32" s="21">
        <f t="shared" si="37"/>
        <v>231170</v>
      </c>
      <c r="O32" s="21">
        <f t="shared" si="37"/>
        <v>244429</v>
      </c>
      <c r="P32" s="21">
        <f>P16+P24</f>
        <v>251894</v>
      </c>
      <c r="Q32" s="21">
        <f>Q16+Q24</f>
        <v>253527</v>
      </c>
      <c r="R32" s="21">
        <f t="shared" ref="R32:X32" si="38">SUM(R27:R31)</f>
        <v>238500</v>
      </c>
      <c r="S32" s="21">
        <f t="shared" si="38"/>
        <v>230957</v>
      </c>
      <c r="T32" s="21">
        <f t="shared" si="38"/>
        <v>239810</v>
      </c>
      <c r="U32" s="21">
        <f t="shared" si="38"/>
        <v>236423</v>
      </c>
      <c r="V32" s="21">
        <f t="shared" si="38"/>
        <v>237266</v>
      </c>
      <c r="W32" s="21">
        <f t="shared" si="38"/>
        <v>246684</v>
      </c>
      <c r="X32" s="21">
        <f t="shared" si="38"/>
        <v>280051</v>
      </c>
      <c r="Y32" s="21">
        <f t="shared" ref="Y32:Z32" si="39">SUM(Y27:Y31)</f>
        <v>293016</v>
      </c>
      <c r="Z32" s="21">
        <f t="shared" si="39"/>
        <v>294483</v>
      </c>
      <c r="AA32" s="21">
        <f t="shared" ref="AA32:AB32" si="40">SUM(AA27:AA31)</f>
        <v>310421</v>
      </c>
      <c r="AB32" s="21">
        <f t="shared" si="40"/>
        <v>332180</v>
      </c>
      <c r="AC32" s="21">
        <f t="shared" ref="AC32:AD32" si="41">SUM(AC27:AC31)</f>
        <v>388779</v>
      </c>
      <c r="AD32" s="21">
        <f t="shared" si="41"/>
        <v>432310</v>
      </c>
      <c r="AE32" s="21">
        <f t="shared" ref="AE32" si="42">SUM(AE27:AE31)</f>
        <v>462435</v>
      </c>
      <c r="AF32" s="4"/>
      <c r="AH32" s="21"/>
      <c r="AI32" s="21"/>
    </row>
    <row r="33" spans="1:32" ht="13.5" customHeight="1" x14ac:dyDescent="0.2">
      <c r="A33" s="2"/>
      <c r="B33" s="24"/>
      <c r="C33" s="24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3"/>
      <c r="AC33" s="23"/>
      <c r="AD33" s="23"/>
      <c r="AE33" s="23"/>
      <c r="AF33" s="4"/>
    </row>
    <row r="34" spans="1:32" ht="13.5" customHeight="1" x14ac:dyDescent="0.2">
      <c r="A34" s="2"/>
      <c r="B34" s="44" t="s">
        <v>32</v>
      </c>
      <c r="C34" s="45"/>
      <c r="D34" s="45"/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5"/>
      <c r="S34" s="45"/>
      <c r="T34" s="45"/>
      <c r="U34" s="45"/>
      <c r="V34" s="45"/>
      <c r="W34" s="45"/>
      <c r="X34" s="45"/>
      <c r="Y34" s="45"/>
      <c r="Z34" s="45"/>
      <c r="AA34" s="45"/>
      <c r="AB34" s="45"/>
      <c r="AC34" s="45"/>
      <c r="AD34" s="45"/>
      <c r="AE34" s="45"/>
      <c r="AF34" s="4"/>
    </row>
    <row r="35" spans="1:32" ht="13.5" customHeight="1" x14ac:dyDescent="0.2">
      <c r="A35" s="2"/>
      <c r="B35" s="46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6"/>
      <c r="U35" s="46"/>
      <c r="V35" s="46"/>
      <c r="W35" s="46"/>
      <c r="X35" s="46"/>
      <c r="Y35" s="46"/>
      <c r="Z35" s="46"/>
      <c r="AA35" s="46"/>
      <c r="AB35" s="46"/>
      <c r="AC35" s="46"/>
      <c r="AD35" s="46"/>
      <c r="AE35" s="46"/>
      <c r="AF35" s="4"/>
    </row>
    <row r="36" spans="1:32" ht="13.5" customHeight="1" x14ac:dyDescent="0.2">
      <c r="A36" s="2"/>
      <c r="B36" s="46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6"/>
      <c r="V36" s="46"/>
      <c r="W36" s="46"/>
      <c r="X36" s="46"/>
      <c r="Y36" s="46"/>
      <c r="Z36" s="46"/>
      <c r="AA36" s="46"/>
      <c r="AB36" s="46"/>
      <c r="AC36" s="46"/>
      <c r="AD36" s="46"/>
      <c r="AE36" s="46"/>
      <c r="AF36" s="4"/>
    </row>
    <row r="37" spans="1:32" ht="13.5" customHeight="1" x14ac:dyDescent="0.2">
      <c r="A37" s="2"/>
      <c r="B37" s="46"/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6"/>
      <c r="N37" s="46"/>
      <c r="O37" s="46"/>
      <c r="P37" s="46"/>
      <c r="Q37" s="46"/>
      <c r="R37" s="46"/>
      <c r="S37" s="46"/>
      <c r="T37" s="46"/>
      <c r="U37" s="46"/>
      <c r="V37" s="46"/>
      <c r="W37" s="46"/>
      <c r="X37" s="46"/>
      <c r="Y37" s="46"/>
      <c r="Z37" s="46"/>
      <c r="AA37" s="46"/>
      <c r="AB37" s="46"/>
      <c r="AC37" s="46"/>
      <c r="AD37" s="46"/>
      <c r="AE37" s="46"/>
      <c r="AF37" s="4"/>
    </row>
    <row r="38" spans="1:32" ht="13.5" customHeight="1" x14ac:dyDescent="0.2">
      <c r="A38" s="2"/>
      <c r="B38" s="46"/>
      <c r="C38" s="46"/>
      <c r="D38" s="46"/>
      <c r="E38" s="46"/>
      <c r="F38" s="46"/>
      <c r="G38" s="46"/>
      <c r="H38" s="46"/>
      <c r="I38" s="46"/>
      <c r="J38" s="46"/>
      <c r="K38" s="46"/>
      <c r="L38" s="46"/>
      <c r="M38" s="46"/>
      <c r="N38" s="46"/>
      <c r="O38" s="46"/>
      <c r="P38" s="46"/>
      <c r="Q38" s="46"/>
      <c r="R38" s="46"/>
      <c r="S38" s="46"/>
      <c r="T38" s="46"/>
      <c r="U38" s="46"/>
      <c r="V38" s="46"/>
      <c r="W38" s="46"/>
      <c r="X38" s="46"/>
      <c r="Y38" s="46"/>
      <c r="Z38" s="46"/>
      <c r="AA38" s="46"/>
      <c r="AB38" s="46"/>
      <c r="AC38" s="46"/>
      <c r="AD38" s="46"/>
      <c r="AE38" s="46"/>
      <c r="AF38" s="4"/>
    </row>
    <row r="39" spans="1:32" ht="13.5" customHeight="1" x14ac:dyDescent="0.2">
      <c r="A39" s="2"/>
      <c r="B39" s="46"/>
      <c r="C39" s="46"/>
      <c r="D39" s="46"/>
      <c r="E39" s="46"/>
      <c r="F39" s="46"/>
      <c r="G39" s="46"/>
      <c r="H39" s="46"/>
      <c r="I39" s="46"/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46"/>
      <c r="V39" s="46"/>
      <c r="W39" s="46"/>
      <c r="X39" s="46"/>
      <c r="Y39" s="46"/>
      <c r="Z39" s="46"/>
      <c r="AA39" s="46"/>
      <c r="AB39" s="46"/>
      <c r="AC39" s="46"/>
      <c r="AD39" s="46"/>
      <c r="AE39" s="46"/>
      <c r="AF39" s="4"/>
    </row>
    <row r="40" spans="1:32" ht="13.5" customHeight="1" x14ac:dyDescent="0.2">
      <c r="A40" s="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4"/>
    </row>
    <row r="41" spans="1:32" ht="13.5" customHeight="1" x14ac:dyDescent="0.2">
      <c r="A41" s="2"/>
      <c r="B41" s="1" t="s">
        <v>41</v>
      </c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4"/>
    </row>
    <row r="42" spans="1:32" ht="13.5" customHeight="1" x14ac:dyDescent="0.2">
      <c r="A42" s="2"/>
      <c r="B42" s="1" t="s">
        <v>42</v>
      </c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4"/>
    </row>
    <row r="43" spans="1:32" ht="13.5" customHeight="1" x14ac:dyDescent="0.2">
      <c r="A43" s="2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4"/>
    </row>
    <row r="44" spans="1:32" ht="13.5" customHeight="1" x14ac:dyDescent="0.2">
      <c r="A44" s="2"/>
      <c r="B44" s="1" t="s">
        <v>33</v>
      </c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5"/>
      <c r="AF44" s="4"/>
    </row>
    <row r="45" spans="1:32" ht="13.5" customHeight="1" x14ac:dyDescent="0.2">
      <c r="A45" s="2"/>
      <c r="B45" s="1" t="s">
        <v>34</v>
      </c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25"/>
      <c r="AF45" s="4"/>
    </row>
    <row r="46" spans="1:32" ht="13.5" customHeight="1" x14ac:dyDescent="0.2">
      <c r="A46" s="2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6"/>
      <c r="AB46" s="26"/>
      <c r="AC46" s="26"/>
      <c r="AD46" s="26"/>
      <c r="AE46" s="26"/>
      <c r="AF46" s="4"/>
    </row>
    <row r="47" spans="1:32" ht="13.5" customHeight="1" x14ac:dyDescent="0.2">
      <c r="A47" s="2"/>
      <c r="B47" s="1" t="s">
        <v>35</v>
      </c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4"/>
    </row>
    <row r="48" spans="1:32" ht="13.5" customHeight="1" x14ac:dyDescent="0.2">
      <c r="A48" s="2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26"/>
      <c r="AA48" s="26"/>
      <c r="AB48" s="26"/>
      <c r="AC48" s="26"/>
      <c r="AD48" s="26"/>
      <c r="AE48" s="26"/>
      <c r="AF48" s="4"/>
    </row>
    <row r="49" spans="1:32" ht="13.5" customHeight="1" x14ac:dyDescent="0.2">
      <c r="A49" s="27"/>
      <c r="B49" s="24" t="s">
        <v>36</v>
      </c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8"/>
      <c r="W49" s="28"/>
      <c r="X49" s="28"/>
      <c r="Y49" s="28"/>
      <c r="Z49" s="28"/>
      <c r="AA49" s="28"/>
      <c r="AB49" s="28"/>
      <c r="AC49" s="28"/>
      <c r="AD49" s="28"/>
      <c r="AE49" s="28" t="s">
        <v>54</v>
      </c>
      <c r="AF49" s="29"/>
    </row>
  </sheetData>
  <mergeCells count="3">
    <mergeCell ref="A2:AF2"/>
    <mergeCell ref="D7:AE7"/>
    <mergeCell ref="B34:AE39"/>
  </mergeCells>
  <printOptions horizontalCentered="1"/>
  <pageMargins left="0.7" right="0.45" top="0.5" bottom="0.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S43"/>
  <sheetViews>
    <sheetView workbookViewId="0"/>
  </sheetViews>
  <sheetFormatPr defaultColWidth="9.140625" defaultRowHeight="13.5" customHeight="1" x14ac:dyDescent="0.2"/>
  <cols>
    <col min="1" max="2" width="2.7109375" style="1" customWidth="1"/>
    <col min="3" max="3" width="19.7109375" style="1" bestFit="1" customWidth="1"/>
    <col min="4" max="25" width="10.7109375" style="1" hidden="1" customWidth="1"/>
    <col min="26" max="31" width="10.7109375" style="1" customWidth="1"/>
    <col min="32" max="32" width="2.7109375" style="1" customWidth="1"/>
    <col min="33" max="16384" width="9.140625" style="1"/>
  </cols>
  <sheetData>
    <row r="2" spans="1:45" ht="15" customHeight="1" x14ac:dyDescent="0.25">
      <c r="A2" s="39" t="s">
        <v>0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1"/>
    </row>
    <row r="3" spans="1:45" ht="13.5" customHeight="1" x14ac:dyDescent="0.2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4"/>
    </row>
    <row r="4" spans="1:45" ht="15" customHeight="1" x14ac:dyDescent="0.2">
      <c r="A4" s="2"/>
      <c r="B4" s="5" t="s">
        <v>1</v>
      </c>
      <c r="C4" s="6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8"/>
    </row>
    <row r="5" spans="1:45" ht="15" customHeight="1" x14ac:dyDescent="0.25">
      <c r="A5" s="2"/>
      <c r="B5" s="9" t="s">
        <v>37</v>
      </c>
      <c r="C5" s="10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8"/>
    </row>
    <row r="6" spans="1:45" ht="13.5" customHeight="1" x14ac:dyDescent="0.2">
      <c r="A6" s="2"/>
      <c r="B6" s="11"/>
      <c r="C6" s="11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8"/>
    </row>
    <row r="7" spans="1:45" ht="13.5" customHeight="1" thickBot="1" x14ac:dyDescent="0.25">
      <c r="A7" s="2"/>
      <c r="D7" s="42" t="s">
        <v>3</v>
      </c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43"/>
      <c r="W7" s="43"/>
      <c r="X7" s="43"/>
      <c r="Y7" s="43"/>
      <c r="Z7" s="43"/>
      <c r="AA7" s="43"/>
      <c r="AB7" s="43"/>
      <c r="AC7" s="43"/>
      <c r="AD7" s="43"/>
      <c r="AE7" s="43"/>
      <c r="AF7" s="4"/>
    </row>
    <row r="8" spans="1:45" ht="13.5" customHeight="1" thickTop="1" x14ac:dyDescent="0.2">
      <c r="A8" s="2"/>
      <c r="B8" s="14"/>
      <c r="C8" s="14"/>
      <c r="D8" s="15" t="s">
        <v>4</v>
      </c>
      <c r="E8" s="15" t="s">
        <v>5</v>
      </c>
      <c r="F8" s="15" t="s">
        <v>6</v>
      </c>
      <c r="G8" s="15" t="s">
        <v>7</v>
      </c>
      <c r="H8" s="15" t="s">
        <v>8</v>
      </c>
      <c r="I8" s="15" t="s">
        <v>9</v>
      </c>
      <c r="J8" s="15" t="s">
        <v>10</v>
      </c>
      <c r="K8" s="15" t="s">
        <v>11</v>
      </c>
      <c r="L8" s="15" t="s">
        <v>12</v>
      </c>
      <c r="M8" s="15" t="s">
        <v>13</v>
      </c>
      <c r="N8" s="15" t="s">
        <v>14</v>
      </c>
      <c r="O8" s="15" t="s">
        <v>15</v>
      </c>
      <c r="P8" s="15" t="s">
        <v>16</v>
      </c>
      <c r="Q8" s="15" t="s">
        <v>17</v>
      </c>
      <c r="R8" s="15" t="s">
        <v>18</v>
      </c>
      <c r="S8" s="15" t="s">
        <v>19</v>
      </c>
      <c r="T8" s="15" t="s">
        <v>20</v>
      </c>
      <c r="U8" s="15" t="s">
        <v>21</v>
      </c>
      <c r="V8" s="15" t="s">
        <v>22</v>
      </c>
      <c r="W8" s="15" t="s">
        <v>44</v>
      </c>
      <c r="X8" s="15" t="s">
        <v>45</v>
      </c>
      <c r="Y8" s="15" t="s">
        <v>46</v>
      </c>
      <c r="Z8" s="15" t="s">
        <v>47</v>
      </c>
      <c r="AA8" s="15" t="s">
        <v>48</v>
      </c>
      <c r="AB8" s="15" t="s">
        <v>49</v>
      </c>
      <c r="AC8" s="15" t="s">
        <v>50</v>
      </c>
      <c r="AD8" s="15" t="s">
        <v>51</v>
      </c>
      <c r="AE8" s="15" t="s">
        <v>53</v>
      </c>
      <c r="AF8" s="4"/>
    </row>
    <row r="9" spans="1:45" ht="13.5" customHeight="1" x14ac:dyDescent="0.2">
      <c r="A9" s="2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4"/>
    </row>
    <row r="10" spans="1:45" ht="13.5" customHeight="1" x14ac:dyDescent="0.2">
      <c r="A10" s="2"/>
      <c r="B10" s="30" t="s">
        <v>23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19"/>
      <c r="AG10" s="10"/>
      <c r="AH10" s="10"/>
      <c r="AI10" s="10"/>
      <c r="AJ10" s="10"/>
      <c r="AK10" s="20"/>
      <c r="AL10" s="20"/>
      <c r="AM10" s="20"/>
      <c r="AN10" s="20"/>
      <c r="AO10" s="20"/>
      <c r="AP10" s="20"/>
      <c r="AQ10" s="20"/>
      <c r="AR10" s="20"/>
      <c r="AS10" s="20"/>
    </row>
    <row r="11" spans="1:45" ht="13.5" customHeight="1" x14ac:dyDescent="0.2">
      <c r="A11" s="2"/>
      <c r="C11" s="1" t="s">
        <v>24</v>
      </c>
      <c r="D11" s="21">
        <v>5087</v>
      </c>
      <c r="E11" s="21">
        <v>5380</v>
      </c>
      <c r="F11" s="21">
        <v>6199</v>
      </c>
      <c r="G11" s="21">
        <v>7206</v>
      </c>
      <c r="H11" s="21">
        <v>7490</v>
      </c>
      <c r="I11" s="21">
        <v>8176</v>
      </c>
      <c r="J11" s="21">
        <v>10796</v>
      </c>
      <c r="K11" s="21">
        <v>14232</v>
      </c>
      <c r="L11" s="21">
        <v>15696</v>
      </c>
      <c r="M11" s="21">
        <v>16960</v>
      </c>
      <c r="N11" s="21">
        <v>15965</v>
      </c>
      <c r="O11" s="21">
        <v>16542</v>
      </c>
      <c r="P11" s="21">
        <v>16765</v>
      </c>
      <c r="Q11" s="21">
        <v>15786</v>
      </c>
      <c r="R11" s="21">
        <v>16139</v>
      </c>
      <c r="S11" s="21">
        <v>18748</v>
      </c>
      <c r="T11" s="21">
        <v>17219</v>
      </c>
      <c r="U11" s="21">
        <v>15406</v>
      </c>
      <c r="V11" s="21">
        <v>14613</v>
      </c>
      <c r="W11" s="21">
        <v>12810</v>
      </c>
      <c r="X11" s="21">
        <v>12739</v>
      </c>
      <c r="Y11" s="21">
        <v>11145</v>
      </c>
      <c r="Z11" s="21">
        <v>10396</v>
      </c>
      <c r="AA11" s="21">
        <v>18400</v>
      </c>
      <c r="AB11" s="21">
        <v>21921</v>
      </c>
      <c r="AC11" s="21">
        <v>20784</v>
      </c>
      <c r="AD11" s="21">
        <v>30571</v>
      </c>
      <c r="AE11" s="21">
        <v>27122</v>
      </c>
      <c r="AF11" s="4"/>
    </row>
    <row r="12" spans="1:45" ht="13.5" customHeight="1" x14ac:dyDescent="0.2">
      <c r="A12" s="2"/>
      <c r="C12" s="1" t="s">
        <v>25</v>
      </c>
      <c r="D12" s="22">
        <v>602</v>
      </c>
      <c r="E12" s="22">
        <v>115</v>
      </c>
      <c r="F12" s="22">
        <v>108</v>
      </c>
      <c r="G12" s="22">
        <v>61</v>
      </c>
      <c r="H12" s="22">
        <v>75</v>
      </c>
      <c r="I12" s="22">
        <v>287</v>
      </c>
      <c r="J12" s="22">
        <v>210</v>
      </c>
      <c r="K12" s="22">
        <v>0</v>
      </c>
      <c r="L12" s="22">
        <v>0</v>
      </c>
      <c r="M12" s="22">
        <v>0</v>
      </c>
      <c r="N12" s="22">
        <v>0</v>
      </c>
      <c r="O12" s="22">
        <v>37</v>
      </c>
      <c r="P12" s="22">
        <v>0</v>
      </c>
      <c r="Q12" s="22">
        <v>1086</v>
      </c>
      <c r="R12" s="22">
        <v>1645</v>
      </c>
      <c r="S12" s="22">
        <v>1150</v>
      </c>
      <c r="T12" s="22">
        <v>383</v>
      </c>
      <c r="U12" s="22">
        <v>110</v>
      </c>
      <c r="V12" s="22">
        <v>115</v>
      </c>
      <c r="W12" s="22">
        <v>153</v>
      </c>
      <c r="X12" s="22">
        <v>47</v>
      </c>
      <c r="Y12" s="22">
        <v>59</v>
      </c>
      <c r="Z12" s="22">
        <v>6</v>
      </c>
      <c r="AA12" s="22">
        <v>26</v>
      </c>
      <c r="AB12" s="22">
        <v>68</v>
      </c>
      <c r="AC12" s="22">
        <v>64</v>
      </c>
      <c r="AD12" s="22">
        <v>106</v>
      </c>
      <c r="AE12" s="22">
        <v>145</v>
      </c>
      <c r="AF12" s="4"/>
    </row>
    <row r="13" spans="1:45" ht="13.5" customHeight="1" x14ac:dyDescent="0.2">
      <c r="A13" s="2"/>
      <c r="C13" s="1" t="s">
        <v>26</v>
      </c>
      <c r="D13" s="22">
        <v>154</v>
      </c>
      <c r="E13" s="22">
        <v>348</v>
      </c>
      <c r="F13" s="22">
        <v>505</v>
      </c>
      <c r="G13" s="22">
        <v>426</v>
      </c>
      <c r="H13" s="22">
        <v>660</v>
      </c>
      <c r="I13" s="22">
        <v>1665</v>
      </c>
      <c r="J13" s="22">
        <v>1371</v>
      </c>
      <c r="K13" s="22">
        <v>1215</v>
      </c>
      <c r="L13" s="22">
        <v>1044</v>
      </c>
      <c r="M13" s="22">
        <v>528</v>
      </c>
      <c r="N13" s="22">
        <v>110</v>
      </c>
      <c r="O13" s="22">
        <v>365</v>
      </c>
      <c r="P13" s="22">
        <v>515</v>
      </c>
      <c r="Q13" s="22">
        <v>675</v>
      </c>
      <c r="R13" s="22">
        <v>560</v>
      </c>
      <c r="S13" s="22">
        <v>630</v>
      </c>
      <c r="T13" s="22">
        <v>541</v>
      </c>
      <c r="U13" s="22">
        <v>791</v>
      </c>
      <c r="V13" s="22">
        <v>450</v>
      </c>
      <c r="W13" s="22">
        <v>735</v>
      </c>
      <c r="X13" s="22">
        <v>548</v>
      </c>
      <c r="Y13" s="22">
        <v>629</v>
      </c>
      <c r="Z13" s="22">
        <v>549</v>
      </c>
      <c r="AA13" s="22">
        <v>456</v>
      </c>
      <c r="AB13" s="22">
        <v>964</v>
      </c>
      <c r="AC13" s="22">
        <v>451</v>
      </c>
      <c r="AD13" s="22">
        <v>338</v>
      </c>
      <c r="AE13" s="22">
        <v>582</v>
      </c>
      <c r="AF13" s="4"/>
    </row>
    <row r="14" spans="1:45" ht="13.5" customHeight="1" x14ac:dyDescent="0.2">
      <c r="A14" s="2"/>
      <c r="C14" s="1" t="s">
        <v>31</v>
      </c>
      <c r="D14" s="22">
        <v>6130</v>
      </c>
      <c r="E14" s="22">
        <v>5327</v>
      </c>
      <c r="F14" s="22">
        <v>5438</v>
      </c>
      <c r="G14" s="22">
        <v>5571</v>
      </c>
      <c r="H14" s="22">
        <v>10376</v>
      </c>
      <c r="I14" s="22">
        <v>8268</v>
      </c>
      <c r="J14" s="22">
        <v>10785</v>
      </c>
      <c r="K14" s="22">
        <v>14092</v>
      </c>
      <c r="L14" s="22">
        <v>13955</v>
      </c>
      <c r="M14" s="22">
        <v>11737</v>
      </c>
      <c r="N14" s="22">
        <v>9266</v>
      </c>
      <c r="O14" s="22">
        <v>8912</v>
      </c>
      <c r="P14" s="22">
        <v>8492</v>
      </c>
      <c r="Q14" s="22">
        <v>8528</v>
      </c>
      <c r="R14" s="22">
        <v>4672</v>
      </c>
      <c r="S14" s="22">
        <v>5203</v>
      </c>
      <c r="T14" s="22">
        <v>4579</v>
      </c>
      <c r="U14" s="22">
        <v>5154</v>
      </c>
      <c r="V14" s="22">
        <v>9468</v>
      </c>
      <c r="W14" s="22">
        <v>8759</v>
      </c>
      <c r="X14" s="22">
        <v>8583</v>
      </c>
      <c r="Y14" s="22">
        <v>9311</v>
      </c>
      <c r="Z14" s="22">
        <v>9473</v>
      </c>
      <c r="AA14" s="22">
        <v>9313</v>
      </c>
      <c r="AB14" s="22">
        <v>9366</v>
      </c>
      <c r="AC14" s="22">
        <v>8519</v>
      </c>
      <c r="AD14" s="22">
        <v>16225</v>
      </c>
      <c r="AE14" s="22">
        <v>18630</v>
      </c>
      <c r="AF14" s="4"/>
    </row>
    <row r="15" spans="1:45" ht="13.5" customHeight="1" x14ac:dyDescent="0.2">
      <c r="A15" s="2"/>
      <c r="C15" s="1" t="s">
        <v>28</v>
      </c>
      <c r="D15" s="23">
        <v>624</v>
      </c>
      <c r="E15" s="23">
        <v>564</v>
      </c>
      <c r="F15" s="23">
        <v>625</v>
      </c>
      <c r="G15" s="23">
        <v>803</v>
      </c>
      <c r="H15" s="23">
        <v>1046</v>
      </c>
      <c r="I15" s="23">
        <v>399</v>
      </c>
      <c r="J15" s="23">
        <v>899</v>
      </c>
      <c r="K15" s="23">
        <v>1566</v>
      </c>
      <c r="L15" s="23">
        <v>1273</v>
      </c>
      <c r="M15" s="23">
        <v>1555</v>
      </c>
      <c r="N15" s="23">
        <v>675</v>
      </c>
      <c r="O15" s="23">
        <v>1014</v>
      </c>
      <c r="P15" s="23">
        <v>1737</v>
      </c>
      <c r="Q15" s="23">
        <v>1425</v>
      </c>
      <c r="R15" s="23">
        <f>1150+295</f>
        <v>1445</v>
      </c>
      <c r="S15" s="23">
        <f>1032+237</f>
        <v>1269</v>
      </c>
      <c r="T15" s="23">
        <f>1097+83</f>
        <v>1180</v>
      </c>
      <c r="U15" s="23">
        <f>1020+1040</f>
        <v>2060</v>
      </c>
      <c r="V15" s="23">
        <f>1157+649</f>
        <v>1806</v>
      </c>
      <c r="W15" s="23">
        <f>1229+411</f>
        <v>1640</v>
      </c>
      <c r="X15" s="23">
        <f>1515+523</f>
        <v>2038</v>
      </c>
      <c r="Y15" s="23">
        <f>1119+543</f>
        <v>1662</v>
      </c>
      <c r="Z15" s="23">
        <v>2433</v>
      </c>
      <c r="AA15" s="23">
        <v>1901</v>
      </c>
      <c r="AB15" s="23">
        <v>2376</v>
      </c>
      <c r="AC15" s="23">
        <v>1938</v>
      </c>
      <c r="AD15" s="23">
        <v>3445</v>
      </c>
      <c r="AE15" s="23">
        <v>4123</v>
      </c>
      <c r="AF15" s="4"/>
    </row>
    <row r="16" spans="1:45" ht="13.5" customHeight="1" x14ac:dyDescent="0.2">
      <c r="A16" s="2"/>
      <c r="D16" s="21">
        <f t="shared" ref="D16:Q16" si="0">SUM(D11:D15)</f>
        <v>12597</v>
      </c>
      <c r="E16" s="21">
        <f t="shared" si="0"/>
        <v>11734</v>
      </c>
      <c r="F16" s="21">
        <f t="shared" si="0"/>
        <v>12875</v>
      </c>
      <c r="G16" s="21">
        <f t="shared" si="0"/>
        <v>14067</v>
      </c>
      <c r="H16" s="21">
        <f t="shared" si="0"/>
        <v>19647</v>
      </c>
      <c r="I16" s="21">
        <f t="shared" si="0"/>
        <v>18795</v>
      </c>
      <c r="J16" s="21">
        <f t="shared" si="0"/>
        <v>24061</v>
      </c>
      <c r="K16" s="21">
        <f t="shared" si="0"/>
        <v>31105</v>
      </c>
      <c r="L16" s="21">
        <f t="shared" si="0"/>
        <v>31968</v>
      </c>
      <c r="M16" s="21">
        <f t="shared" si="0"/>
        <v>30780</v>
      </c>
      <c r="N16" s="21">
        <f t="shared" si="0"/>
        <v>26016</v>
      </c>
      <c r="O16" s="21">
        <f t="shared" si="0"/>
        <v>26870</v>
      </c>
      <c r="P16" s="21">
        <f t="shared" si="0"/>
        <v>27509</v>
      </c>
      <c r="Q16" s="21">
        <f t="shared" si="0"/>
        <v>27500</v>
      </c>
      <c r="R16" s="21">
        <f t="shared" ref="R16:X16" si="1">SUM(R11:R15)</f>
        <v>24461</v>
      </c>
      <c r="S16" s="21">
        <f t="shared" si="1"/>
        <v>27000</v>
      </c>
      <c r="T16" s="21">
        <f t="shared" si="1"/>
        <v>23902</v>
      </c>
      <c r="U16" s="21">
        <f t="shared" si="1"/>
        <v>23521</v>
      </c>
      <c r="V16" s="21">
        <f t="shared" si="1"/>
        <v>26452</v>
      </c>
      <c r="W16" s="21">
        <f t="shared" si="1"/>
        <v>24097</v>
      </c>
      <c r="X16" s="21">
        <f t="shared" si="1"/>
        <v>23955</v>
      </c>
      <c r="Y16" s="21">
        <f t="shared" ref="Y16:Z16" si="2">SUM(Y11:Y15)</f>
        <v>22806</v>
      </c>
      <c r="Z16" s="21">
        <f t="shared" si="2"/>
        <v>22857</v>
      </c>
      <c r="AA16" s="21">
        <f t="shared" ref="AA16:AB16" si="3">SUM(AA11:AA15)</f>
        <v>30096</v>
      </c>
      <c r="AB16" s="21">
        <f t="shared" si="3"/>
        <v>34695</v>
      </c>
      <c r="AC16" s="21">
        <f t="shared" ref="AC16:AD16" si="4">SUM(AC11:AC15)</f>
        <v>31756</v>
      </c>
      <c r="AD16" s="21">
        <f t="shared" si="4"/>
        <v>50685</v>
      </c>
      <c r="AE16" s="21">
        <f t="shared" ref="AE16" si="5">SUM(AE11:AE15)</f>
        <v>50602</v>
      </c>
      <c r="AF16" s="4"/>
    </row>
    <row r="17" spans="1:32" ht="13.5" customHeight="1" x14ac:dyDescent="0.2">
      <c r="A17" s="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4"/>
    </row>
    <row r="18" spans="1:32" ht="13.5" customHeight="1" x14ac:dyDescent="0.2">
      <c r="A18" s="2"/>
      <c r="B18" s="30" t="s">
        <v>29</v>
      </c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4"/>
    </row>
    <row r="19" spans="1:32" ht="13.5" customHeight="1" x14ac:dyDescent="0.2">
      <c r="A19" s="2"/>
      <c r="C19" s="1" t="s">
        <v>24</v>
      </c>
      <c r="D19" s="21"/>
      <c r="E19" s="21"/>
      <c r="F19" s="21"/>
      <c r="G19" s="21">
        <v>88</v>
      </c>
      <c r="H19" s="21">
        <v>83</v>
      </c>
      <c r="I19" s="21">
        <v>74</v>
      </c>
      <c r="J19" s="21">
        <v>77</v>
      </c>
      <c r="K19" s="21">
        <v>515</v>
      </c>
      <c r="L19" s="21">
        <v>366</v>
      </c>
      <c r="M19" s="21">
        <v>497</v>
      </c>
      <c r="N19" s="21">
        <v>436</v>
      </c>
      <c r="O19" s="21">
        <v>2602</v>
      </c>
      <c r="P19" s="21">
        <v>498</v>
      </c>
      <c r="Q19" s="21">
        <v>190</v>
      </c>
      <c r="R19" s="21">
        <v>252</v>
      </c>
      <c r="S19" s="21">
        <v>240</v>
      </c>
      <c r="T19" s="21">
        <v>303</v>
      </c>
      <c r="U19" s="21">
        <v>368</v>
      </c>
      <c r="V19" s="21">
        <v>565</v>
      </c>
      <c r="W19" s="21">
        <v>517</v>
      </c>
      <c r="X19" s="21">
        <v>342</v>
      </c>
      <c r="Y19" s="21">
        <v>151</v>
      </c>
      <c r="Z19" s="21">
        <v>200</v>
      </c>
      <c r="AA19" s="21">
        <v>224</v>
      </c>
      <c r="AB19" s="21">
        <v>399</v>
      </c>
      <c r="AC19" s="21">
        <v>419</v>
      </c>
      <c r="AD19" s="21">
        <v>563</v>
      </c>
      <c r="AE19" s="21">
        <v>993</v>
      </c>
      <c r="AF19" s="4"/>
    </row>
    <row r="20" spans="1:32" ht="13.5" customHeight="1" x14ac:dyDescent="0.2">
      <c r="A20" s="2"/>
      <c r="C20" s="1" t="s">
        <v>25</v>
      </c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>
        <v>0</v>
      </c>
      <c r="S20" s="22">
        <v>0</v>
      </c>
      <c r="T20" s="22">
        <v>0</v>
      </c>
      <c r="U20" s="22">
        <v>0</v>
      </c>
      <c r="V20" s="22">
        <v>0</v>
      </c>
      <c r="W20" s="22">
        <v>0</v>
      </c>
      <c r="X20" s="22">
        <v>0</v>
      </c>
      <c r="Y20" s="22">
        <v>0</v>
      </c>
      <c r="Z20" s="22">
        <v>0</v>
      </c>
      <c r="AA20" s="22">
        <v>0</v>
      </c>
      <c r="AB20" s="22">
        <v>42</v>
      </c>
      <c r="AC20" s="22">
        <v>58</v>
      </c>
      <c r="AD20" s="22">
        <v>119</v>
      </c>
      <c r="AE20" s="22">
        <v>191</v>
      </c>
      <c r="AF20" s="4"/>
    </row>
    <row r="21" spans="1:32" ht="13.5" customHeight="1" x14ac:dyDescent="0.2">
      <c r="A21" s="2"/>
      <c r="C21" s="1" t="s">
        <v>26</v>
      </c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>
        <v>0</v>
      </c>
      <c r="S21" s="22">
        <v>0</v>
      </c>
      <c r="T21" s="22">
        <v>65</v>
      </c>
      <c r="U21" s="22">
        <v>79</v>
      </c>
      <c r="V21" s="22">
        <v>40</v>
      </c>
      <c r="W21" s="22">
        <v>0</v>
      </c>
      <c r="X21" s="22">
        <v>0</v>
      </c>
      <c r="Y21" s="22">
        <v>0</v>
      </c>
      <c r="Z21" s="22">
        <v>0</v>
      </c>
      <c r="AA21" s="22">
        <v>0</v>
      </c>
      <c r="AB21" s="22">
        <v>0</v>
      </c>
      <c r="AC21" s="22">
        <v>0</v>
      </c>
      <c r="AD21" s="22">
        <v>0</v>
      </c>
      <c r="AE21" s="22">
        <v>0</v>
      </c>
      <c r="AF21" s="4"/>
    </row>
    <row r="22" spans="1:32" ht="13.5" customHeight="1" x14ac:dyDescent="0.2">
      <c r="A22" s="2"/>
      <c r="C22" s="1" t="s">
        <v>31</v>
      </c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>
        <v>4881</v>
      </c>
      <c r="S22" s="22">
        <v>5360</v>
      </c>
      <c r="T22" s="22">
        <v>4936</v>
      </c>
      <c r="U22" s="22">
        <v>4702</v>
      </c>
      <c r="V22" s="22">
        <v>2080</v>
      </c>
      <c r="W22" s="22">
        <v>1774</v>
      </c>
      <c r="X22" s="22">
        <v>1959</v>
      </c>
      <c r="Y22" s="22">
        <v>2099</v>
      </c>
      <c r="Z22" s="22">
        <v>1869</v>
      </c>
      <c r="AA22" s="22">
        <v>1443</v>
      </c>
      <c r="AB22" s="22">
        <v>917</v>
      </c>
      <c r="AC22" s="22">
        <v>1377</v>
      </c>
      <c r="AD22" s="22">
        <v>976</v>
      </c>
      <c r="AE22" s="22">
        <v>1400</v>
      </c>
      <c r="AF22" s="4"/>
    </row>
    <row r="23" spans="1:32" ht="13.5" customHeight="1" x14ac:dyDescent="0.2">
      <c r="A23" s="2"/>
      <c r="C23" s="1" t="s">
        <v>28</v>
      </c>
      <c r="D23" s="22"/>
      <c r="E23" s="22"/>
      <c r="F23" s="22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>
        <f>555+14</f>
        <v>569</v>
      </c>
      <c r="S23" s="23">
        <f>169+0</f>
        <v>169</v>
      </c>
      <c r="T23" s="23">
        <f>15+6</f>
        <v>21</v>
      </c>
      <c r="U23" s="23">
        <f>38+121</f>
        <v>159</v>
      </c>
      <c r="V23" s="23">
        <f>8+19</f>
        <v>27</v>
      </c>
      <c r="W23" s="23">
        <f>9+198</f>
        <v>207</v>
      </c>
      <c r="X23" s="23">
        <f>5+31</f>
        <v>36</v>
      </c>
      <c r="Y23" s="23">
        <f>40+27</f>
        <v>67</v>
      </c>
      <c r="Z23" s="23">
        <v>210</v>
      </c>
      <c r="AA23" s="23">
        <v>193</v>
      </c>
      <c r="AB23" s="23">
        <v>303</v>
      </c>
      <c r="AC23" s="23">
        <v>245</v>
      </c>
      <c r="AD23" s="23">
        <v>314</v>
      </c>
      <c r="AE23" s="23">
        <v>1379</v>
      </c>
      <c r="AF23" s="4"/>
    </row>
    <row r="24" spans="1:32" ht="13.5" customHeight="1" x14ac:dyDescent="0.2">
      <c r="A24" s="2"/>
      <c r="D24" s="21"/>
      <c r="E24" s="21"/>
      <c r="F24" s="21"/>
      <c r="G24" s="21">
        <v>823</v>
      </c>
      <c r="H24" s="21">
        <v>1270</v>
      </c>
      <c r="I24" s="21">
        <v>1420</v>
      </c>
      <c r="J24" s="21">
        <v>2234</v>
      </c>
      <c r="K24" s="21">
        <v>3532</v>
      </c>
      <c r="L24" s="21">
        <v>3240</v>
      </c>
      <c r="M24" s="21">
        <v>3502</v>
      </c>
      <c r="N24" s="21">
        <v>1556</v>
      </c>
      <c r="O24" s="21">
        <v>4074</v>
      </c>
      <c r="P24" s="21">
        <v>1383</v>
      </c>
      <c r="Q24" s="21">
        <v>1157</v>
      </c>
      <c r="R24" s="21">
        <f t="shared" ref="R24:X24" si="6">SUM(R19:R23)</f>
        <v>5702</v>
      </c>
      <c r="S24" s="21">
        <f t="shared" si="6"/>
        <v>5769</v>
      </c>
      <c r="T24" s="21">
        <f t="shared" si="6"/>
        <v>5325</v>
      </c>
      <c r="U24" s="21">
        <f t="shared" si="6"/>
        <v>5308</v>
      </c>
      <c r="V24" s="21">
        <f t="shared" si="6"/>
        <v>2712</v>
      </c>
      <c r="W24" s="21">
        <f t="shared" si="6"/>
        <v>2498</v>
      </c>
      <c r="X24" s="21">
        <f t="shared" si="6"/>
        <v>2337</v>
      </c>
      <c r="Y24" s="21">
        <f t="shared" ref="Y24:Z24" si="7">SUM(Y19:Y23)</f>
        <v>2317</v>
      </c>
      <c r="Z24" s="21">
        <f t="shared" si="7"/>
        <v>2279</v>
      </c>
      <c r="AA24" s="21">
        <f t="shared" ref="AA24:AB24" si="8">SUM(AA19:AA23)</f>
        <v>1860</v>
      </c>
      <c r="AB24" s="21">
        <f t="shared" si="8"/>
        <v>1661</v>
      </c>
      <c r="AC24" s="21">
        <f t="shared" ref="AC24:AD24" si="9">SUM(AC19:AC23)</f>
        <v>2099</v>
      </c>
      <c r="AD24" s="21">
        <f t="shared" si="9"/>
        <v>1972</v>
      </c>
      <c r="AE24" s="21">
        <f t="shared" ref="AE24" si="10">SUM(AE19:AE23)</f>
        <v>3963</v>
      </c>
      <c r="AF24" s="4"/>
    </row>
    <row r="25" spans="1:32" ht="13.5" customHeight="1" x14ac:dyDescent="0.2">
      <c r="A25" s="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4"/>
    </row>
    <row r="26" spans="1:32" ht="13.5" customHeight="1" x14ac:dyDescent="0.2">
      <c r="A26" s="2"/>
      <c r="B26" s="30" t="s">
        <v>30</v>
      </c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F26" s="4"/>
    </row>
    <row r="27" spans="1:32" ht="13.5" customHeight="1" x14ac:dyDescent="0.2">
      <c r="A27" s="2"/>
      <c r="C27" s="1" t="s">
        <v>24</v>
      </c>
      <c r="D27" s="21"/>
      <c r="E27" s="21"/>
      <c r="F27" s="21"/>
      <c r="G27" s="21">
        <f>G11+G19</f>
        <v>7294</v>
      </c>
      <c r="H27" s="21">
        <f>H11+H19</f>
        <v>7573</v>
      </c>
      <c r="I27" s="21">
        <f>I11+I19</f>
        <v>8250</v>
      </c>
      <c r="J27" s="21">
        <f t="shared" ref="J27:V31" si="11">J11+J19</f>
        <v>10873</v>
      </c>
      <c r="K27" s="21">
        <f t="shared" si="11"/>
        <v>14747</v>
      </c>
      <c r="L27" s="21">
        <f t="shared" si="11"/>
        <v>16062</v>
      </c>
      <c r="M27" s="21">
        <f t="shared" si="11"/>
        <v>17457</v>
      </c>
      <c r="N27" s="21">
        <f t="shared" si="11"/>
        <v>16401</v>
      </c>
      <c r="O27" s="21">
        <f t="shared" si="11"/>
        <v>19144</v>
      </c>
      <c r="P27" s="21">
        <f t="shared" si="11"/>
        <v>17263</v>
      </c>
      <c r="Q27" s="21">
        <f t="shared" si="11"/>
        <v>15976</v>
      </c>
      <c r="R27" s="21">
        <f t="shared" si="11"/>
        <v>16391</v>
      </c>
      <c r="S27" s="21">
        <f t="shared" si="11"/>
        <v>18988</v>
      </c>
      <c r="T27" s="21">
        <f t="shared" si="11"/>
        <v>17522</v>
      </c>
      <c r="U27" s="21">
        <f t="shared" si="11"/>
        <v>15774</v>
      </c>
      <c r="V27" s="21">
        <f t="shared" si="11"/>
        <v>15178</v>
      </c>
      <c r="W27" s="21">
        <f t="shared" ref="W27:X27" si="12">W11+W19</f>
        <v>13327</v>
      </c>
      <c r="X27" s="21">
        <f t="shared" si="12"/>
        <v>13081</v>
      </c>
      <c r="Y27" s="21">
        <f t="shared" ref="Y27:Z27" si="13">Y11+Y19</f>
        <v>11296</v>
      </c>
      <c r="Z27" s="21">
        <f t="shared" si="13"/>
        <v>10596</v>
      </c>
      <c r="AA27" s="21">
        <f t="shared" ref="AA27:AB27" si="14">AA11+AA19</f>
        <v>18624</v>
      </c>
      <c r="AB27" s="21">
        <f t="shared" si="14"/>
        <v>22320</v>
      </c>
      <c r="AC27" s="21">
        <f t="shared" ref="AC27:AD27" si="15">AC11+AC19</f>
        <v>21203</v>
      </c>
      <c r="AD27" s="21">
        <f t="shared" si="15"/>
        <v>31134</v>
      </c>
      <c r="AE27" s="21">
        <f t="shared" ref="AE27" si="16">AE11+AE19</f>
        <v>28115</v>
      </c>
      <c r="AF27" s="4"/>
    </row>
    <row r="28" spans="1:32" ht="13.5" customHeight="1" x14ac:dyDescent="0.2">
      <c r="A28" s="2"/>
      <c r="C28" s="1" t="s">
        <v>25</v>
      </c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>
        <f t="shared" si="11"/>
        <v>1645</v>
      </c>
      <c r="S28" s="22">
        <f t="shared" si="11"/>
        <v>1150</v>
      </c>
      <c r="T28" s="22">
        <f t="shared" si="11"/>
        <v>383</v>
      </c>
      <c r="U28" s="22">
        <f t="shared" si="11"/>
        <v>110</v>
      </c>
      <c r="V28" s="22">
        <f t="shared" si="11"/>
        <v>115</v>
      </c>
      <c r="W28" s="22">
        <f t="shared" ref="W28:X28" si="17">W12+W20</f>
        <v>153</v>
      </c>
      <c r="X28" s="22">
        <f t="shared" si="17"/>
        <v>47</v>
      </c>
      <c r="Y28" s="22">
        <f t="shared" ref="Y28:Z28" si="18">Y12+Y20</f>
        <v>59</v>
      </c>
      <c r="Z28" s="22">
        <f t="shared" si="18"/>
        <v>6</v>
      </c>
      <c r="AA28" s="22">
        <f t="shared" ref="AA28:AB28" si="19">AA12+AA20</f>
        <v>26</v>
      </c>
      <c r="AB28" s="22">
        <f t="shared" si="19"/>
        <v>110</v>
      </c>
      <c r="AC28" s="22">
        <f t="shared" ref="AC28:AD28" si="20">AC12+AC20</f>
        <v>122</v>
      </c>
      <c r="AD28" s="22">
        <f t="shared" si="20"/>
        <v>225</v>
      </c>
      <c r="AE28" s="22">
        <f t="shared" ref="AE28" si="21">AE12+AE20</f>
        <v>336</v>
      </c>
      <c r="AF28" s="4"/>
    </row>
    <row r="29" spans="1:32" ht="13.5" customHeight="1" x14ac:dyDescent="0.2">
      <c r="A29" s="2"/>
      <c r="C29" s="1" t="s">
        <v>26</v>
      </c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>
        <f t="shared" si="11"/>
        <v>560</v>
      </c>
      <c r="S29" s="22">
        <f t="shared" si="11"/>
        <v>630</v>
      </c>
      <c r="T29" s="22">
        <f t="shared" si="11"/>
        <v>606</v>
      </c>
      <c r="U29" s="22">
        <f t="shared" si="11"/>
        <v>870</v>
      </c>
      <c r="V29" s="22">
        <f t="shared" si="11"/>
        <v>490</v>
      </c>
      <c r="W29" s="22">
        <f t="shared" ref="W29:X29" si="22">W13+W21</f>
        <v>735</v>
      </c>
      <c r="X29" s="22">
        <f t="shared" si="22"/>
        <v>548</v>
      </c>
      <c r="Y29" s="22">
        <f t="shared" ref="Y29:Z29" si="23">Y13+Y21</f>
        <v>629</v>
      </c>
      <c r="Z29" s="22">
        <f t="shared" si="23"/>
        <v>549</v>
      </c>
      <c r="AA29" s="22">
        <f t="shared" ref="AA29:AB29" si="24">AA13+AA21</f>
        <v>456</v>
      </c>
      <c r="AB29" s="22">
        <f t="shared" si="24"/>
        <v>964</v>
      </c>
      <c r="AC29" s="22">
        <f t="shared" ref="AC29:AD29" si="25">AC13+AC21</f>
        <v>451</v>
      </c>
      <c r="AD29" s="22">
        <f t="shared" si="25"/>
        <v>338</v>
      </c>
      <c r="AE29" s="22">
        <f t="shared" ref="AE29" si="26">AE13+AE21</f>
        <v>582</v>
      </c>
      <c r="AF29" s="4"/>
    </row>
    <row r="30" spans="1:32" ht="13.5" customHeight="1" x14ac:dyDescent="0.2">
      <c r="A30" s="2"/>
      <c r="C30" s="1" t="s">
        <v>31</v>
      </c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>
        <f t="shared" si="11"/>
        <v>9553</v>
      </c>
      <c r="S30" s="22">
        <f t="shared" si="11"/>
        <v>10563</v>
      </c>
      <c r="T30" s="22">
        <f t="shared" si="11"/>
        <v>9515</v>
      </c>
      <c r="U30" s="22">
        <f t="shared" si="11"/>
        <v>9856</v>
      </c>
      <c r="V30" s="22">
        <f t="shared" si="11"/>
        <v>11548</v>
      </c>
      <c r="W30" s="22">
        <f t="shared" ref="W30:X30" si="27">W14+W22</f>
        <v>10533</v>
      </c>
      <c r="X30" s="22">
        <f t="shared" si="27"/>
        <v>10542</v>
      </c>
      <c r="Y30" s="22">
        <f t="shared" ref="Y30:Z30" si="28">Y14+Y22</f>
        <v>11410</v>
      </c>
      <c r="Z30" s="22">
        <f t="shared" si="28"/>
        <v>11342</v>
      </c>
      <c r="AA30" s="22">
        <f t="shared" ref="AA30:AB30" si="29">AA14+AA22</f>
        <v>10756</v>
      </c>
      <c r="AB30" s="22">
        <f t="shared" si="29"/>
        <v>10283</v>
      </c>
      <c r="AC30" s="22">
        <f t="shared" ref="AC30:AD30" si="30">AC14+AC22</f>
        <v>9896</v>
      </c>
      <c r="AD30" s="22">
        <f t="shared" si="30"/>
        <v>17201</v>
      </c>
      <c r="AE30" s="22">
        <f t="shared" ref="AE30" si="31">AE14+AE22</f>
        <v>20030</v>
      </c>
      <c r="AF30" s="4"/>
    </row>
    <row r="31" spans="1:32" ht="13.5" customHeight="1" x14ac:dyDescent="0.2">
      <c r="A31" s="2"/>
      <c r="C31" s="1" t="s">
        <v>28</v>
      </c>
      <c r="D31" s="22"/>
      <c r="E31" s="22"/>
      <c r="F31" s="22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>
        <f t="shared" si="11"/>
        <v>2014</v>
      </c>
      <c r="S31" s="23">
        <f t="shared" si="11"/>
        <v>1438</v>
      </c>
      <c r="T31" s="23">
        <f t="shared" si="11"/>
        <v>1201</v>
      </c>
      <c r="U31" s="23">
        <f t="shared" si="11"/>
        <v>2219</v>
      </c>
      <c r="V31" s="23">
        <f t="shared" si="11"/>
        <v>1833</v>
      </c>
      <c r="W31" s="23">
        <f t="shared" ref="W31:X31" si="32">W15+W23</f>
        <v>1847</v>
      </c>
      <c r="X31" s="23">
        <f t="shared" si="32"/>
        <v>2074</v>
      </c>
      <c r="Y31" s="23">
        <f t="shared" ref="Y31:Z31" si="33">Y15+Y23</f>
        <v>1729</v>
      </c>
      <c r="Z31" s="23">
        <f t="shared" si="33"/>
        <v>2643</v>
      </c>
      <c r="AA31" s="23">
        <f t="shared" ref="AA31:AC31" si="34">AA15+AA23</f>
        <v>2094</v>
      </c>
      <c r="AB31" s="23">
        <f t="shared" si="34"/>
        <v>2679</v>
      </c>
      <c r="AC31" s="23">
        <f t="shared" si="34"/>
        <v>2183</v>
      </c>
      <c r="AD31" s="23">
        <f t="shared" ref="AD31:AE31" si="35">AD15+AD23</f>
        <v>3759</v>
      </c>
      <c r="AE31" s="23">
        <f t="shared" si="35"/>
        <v>5502</v>
      </c>
      <c r="AF31" s="4"/>
    </row>
    <row r="32" spans="1:32" ht="13.5" customHeight="1" x14ac:dyDescent="0.2">
      <c r="A32" s="2"/>
      <c r="D32" s="21"/>
      <c r="E32" s="21"/>
      <c r="F32" s="21"/>
      <c r="G32" s="21">
        <f>G16+G24</f>
        <v>14890</v>
      </c>
      <c r="H32" s="21">
        <f>H16+H24</f>
        <v>20917</v>
      </c>
      <c r="I32" s="21">
        <f>I16+I24</f>
        <v>20215</v>
      </c>
      <c r="J32" s="21">
        <f t="shared" ref="J32:O32" si="36">J16+J24</f>
        <v>26295</v>
      </c>
      <c r="K32" s="21">
        <f t="shared" si="36"/>
        <v>34637</v>
      </c>
      <c r="L32" s="21">
        <f t="shared" si="36"/>
        <v>35208</v>
      </c>
      <c r="M32" s="21">
        <f t="shared" si="36"/>
        <v>34282</v>
      </c>
      <c r="N32" s="21">
        <f t="shared" si="36"/>
        <v>27572</v>
      </c>
      <c r="O32" s="21">
        <f t="shared" si="36"/>
        <v>30944</v>
      </c>
      <c r="P32" s="21">
        <f>P16+P24</f>
        <v>28892</v>
      </c>
      <c r="Q32" s="21">
        <f>Q16+Q24</f>
        <v>28657</v>
      </c>
      <c r="R32" s="21">
        <f t="shared" ref="R32:X32" si="37">SUM(R27:R31)</f>
        <v>30163</v>
      </c>
      <c r="S32" s="21">
        <f t="shared" si="37"/>
        <v>32769</v>
      </c>
      <c r="T32" s="21">
        <f t="shared" si="37"/>
        <v>29227</v>
      </c>
      <c r="U32" s="21">
        <f t="shared" si="37"/>
        <v>28829</v>
      </c>
      <c r="V32" s="21">
        <f t="shared" si="37"/>
        <v>29164</v>
      </c>
      <c r="W32" s="21">
        <f t="shared" si="37"/>
        <v>26595</v>
      </c>
      <c r="X32" s="21">
        <f t="shared" si="37"/>
        <v>26292</v>
      </c>
      <c r="Y32" s="21">
        <f t="shared" ref="Y32:Z32" si="38">SUM(Y27:Y31)</f>
        <v>25123</v>
      </c>
      <c r="Z32" s="21">
        <f t="shared" si="38"/>
        <v>25136</v>
      </c>
      <c r="AA32" s="21">
        <f t="shared" ref="AA32:AB32" si="39">SUM(AA27:AA31)</f>
        <v>31956</v>
      </c>
      <c r="AB32" s="21">
        <f t="shared" si="39"/>
        <v>36356</v>
      </c>
      <c r="AC32" s="21">
        <f t="shared" ref="AC32:AD32" si="40">SUM(AC27:AC31)</f>
        <v>33855</v>
      </c>
      <c r="AD32" s="21">
        <f t="shared" si="40"/>
        <v>52657</v>
      </c>
      <c r="AE32" s="21">
        <f t="shared" ref="AE32" si="41">SUM(AE27:AE31)</f>
        <v>54565</v>
      </c>
      <c r="AF32" s="4"/>
    </row>
    <row r="33" spans="1:32" ht="13.5" customHeight="1" x14ac:dyDescent="0.2">
      <c r="A33" s="2"/>
      <c r="B33" s="24"/>
      <c r="C33" s="24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3"/>
      <c r="AC33" s="23"/>
      <c r="AD33" s="23"/>
      <c r="AE33" s="23"/>
      <c r="AF33" s="4"/>
    </row>
    <row r="34" spans="1:32" ht="13.5" customHeight="1" x14ac:dyDescent="0.2">
      <c r="A34" s="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4"/>
    </row>
    <row r="35" spans="1:32" ht="13.5" customHeight="1" x14ac:dyDescent="0.2">
      <c r="A35" s="2"/>
      <c r="B35" s="1" t="s">
        <v>41</v>
      </c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25"/>
      <c r="AD35" s="25"/>
      <c r="AE35" s="25"/>
      <c r="AF35" s="4"/>
    </row>
    <row r="36" spans="1:32" ht="13.5" customHeight="1" x14ac:dyDescent="0.2">
      <c r="A36" s="2"/>
      <c r="B36" s="1" t="s">
        <v>42</v>
      </c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4"/>
    </row>
    <row r="37" spans="1:32" ht="13.5" customHeight="1" x14ac:dyDescent="0.2">
      <c r="A37" s="2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4"/>
    </row>
    <row r="38" spans="1:32" ht="13.5" customHeight="1" x14ac:dyDescent="0.2">
      <c r="A38" s="2"/>
      <c r="B38" s="1" t="s">
        <v>33</v>
      </c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4"/>
    </row>
    <row r="39" spans="1:32" ht="13.5" customHeight="1" x14ac:dyDescent="0.2">
      <c r="A39" s="2"/>
      <c r="B39" s="1" t="s">
        <v>34</v>
      </c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4"/>
    </row>
    <row r="40" spans="1:32" ht="13.5" customHeight="1" x14ac:dyDescent="0.2">
      <c r="A40" s="2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4"/>
    </row>
    <row r="41" spans="1:32" ht="13.5" customHeight="1" x14ac:dyDescent="0.2">
      <c r="A41" s="2"/>
      <c r="B41" s="1" t="s">
        <v>35</v>
      </c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4"/>
    </row>
    <row r="42" spans="1:32" ht="13.5" customHeight="1" x14ac:dyDescent="0.2">
      <c r="A42" s="2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4"/>
    </row>
    <row r="43" spans="1:32" ht="13.5" customHeight="1" x14ac:dyDescent="0.2">
      <c r="A43" s="27"/>
      <c r="B43" s="24" t="s">
        <v>36</v>
      </c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8"/>
      <c r="W43" s="28"/>
      <c r="X43" s="28"/>
      <c r="Y43" s="28"/>
      <c r="Z43" s="28"/>
      <c r="AA43" s="28"/>
      <c r="AB43" s="28"/>
      <c r="AC43" s="28"/>
      <c r="AD43" s="28"/>
      <c r="AE43" s="28" t="s">
        <v>54</v>
      </c>
      <c r="AF43" s="29"/>
    </row>
  </sheetData>
  <mergeCells count="2">
    <mergeCell ref="A2:AF2"/>
    <mergeCell ref="D7:AE7"/>
  </mergeCells>
  <printOptions horizontalCentered="1"/>
  <pageMargins left="0.7" right="0.45" top="0.5" bottom="0.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AS43"/>
  <sheetViews>
    <sheetView workbookViewId="0"/>
  </sheetViews>
  <sheetFormatPr defaultColWidth="9.140625" defaultRowHeight="13.5" customHeight="1" x14ac:dyDescent="0.2"/>
  <cols>
    <col min="1" max="2" width="2.7109375" style="1" customWidth="1"/>
    <col min="3" max="3" width="19.7109375" style="1" bestFit="1" customWidth="1"/>
    <col min="4" max="25" width="10.7109375" style="1" hidden="1" customWidth="1"/>
    <col min="26" max="31" width="10.7109375" style="1" customWidth="1"/>
    <col min="32" max="32" width="2.7109375" style="1" customWidth="1"/>
    <col min="33" max="16384" width="9.140625" style="1"/>
  </cols>
  <sheetData>
    <row r="2" spans="1:45" ht="15" customHeight="1" x14ac:dyDescent="0.25">
      <c r="A2" s="39" t="s">
        <v>0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1"/>
    </row>
    <row r="3" spans="1:45" ht="13.5" customHeight="1" x14ac:dyDescent="0.2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4"/>
    </row>
    <row r="4" spans="1:45" ht="15" customHeight="1" x14ac:dyDescent="0.2">
      <c r="A4" s="2"/>
      <c r="B4" s="5" t="s">
        <v>1</v>
      </c>
      <c r="C4" s="6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8"/>
    </row>
    <row r="5" spans="1:45" ht="15" customHeight="1" x14ac:dyDescent="0.25">
      <c r="A5" s="2"/>
      <c r="B5" s="9" t="s">
        <v>38</v>
      </c>
      <c r="C5" s="10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8"/>
    </row>
    <row r="6" spans="1:45" ht="13.5" customHeight="1" x14ac:dyDescent="0.2">
      <c r="A6" s="2"/>
      <c r="B6" s="11"/>
      <c r="C6" s="11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8"/>
    </row>
    <row r="7" spans="1:45" ht="13.5" customHeight="1" thickBot="1" x14ac:dyDescent="0.25">
      <c r="A7" s="2"/>
      <c r="B7" s="13"/>
      <c r="C7" s="13"/>
      <c r="D7" s="42" t="s">
        <v>3</v>
      </c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43"/>
      <c r="W7" s="43"/>
      <c r="X7" s="43"/>
      <c r="Y7" s="43"/>
      <c r="Z7" s="43"/>
      <c r="AA7" s="43"/>
      <c r="AB7" s="43"/>
      <c r="AC7" s="43"/>
      <c r="AD7" s="43"/>
      <c r="AE7" s="43"/>
      <c r="AF7" s="4"/>
    </row>
    <row r="8" spans="1:45" ht="13.5" customHeight="1" thickTop="1" x14ac:dyDescent="0.2">
      <c r="A8" s="2"/>
      <c r="B8" s="14"/>
      <c r="C8" s="14"/>
      <c r="D8" s="15" t="s">
        <v>4</v>
      </c>
      <c r="E8" s="15" t="s">
        <v>5</v>
      </c>
      <c r="F8" s="15" t="s">
        <v>6</v>
      </c>
      <c r="G8" s="15" t="s">
        <v>7</v>
      </c>
      <c r="H8" s="15" t="s">
        <v>8</v>
      </c>
      <c r="I8" s="15" t="s">
        <v>9</v>
      </c>
      <c r="J8" s="15" t="s">
        <v>10</v>
      </c>
      <c r="K8" s="15" t="s">
        <v>11</v>
      </c>
      <c r="L8" s="15" t="s">
        <v>12</v>
      </c>
      <c r="M8" s="15" t="s">
        <v>13</v>
      </c>
      <c r="N8" s="15" t="s">
        <v>14</v>
      </c>
      <c r="O8" s="15" t="s">
        <v>15</v>
      </c>
      <c r="P8" s="15" t="s">
        <v>16</v>
      </c>
      <c r="Q8" s="15" t="s">
        <v>17</v>
      </c>
      <c r="R8" s="15" t="s">
        <v>18</v>
      </c>
      <c r="S8" s="15" t="s">
        <v>19</v>
      </c>
      <c r="T8" s="15" t="s">
        <v>20</v>
      </c>
      <c r="U8" s="15" t="s">
        <v>21</v>
      </c>
      <c r="V8" s="15" t="s">
        <v>22</v>
      </c>
      <c r="W8" s="15" t="s">
        <v>44</v>
      </c>
      <c r="X8" s="15" t="s">
        <v>45</v>
      </c>
      <c r="Y8" s="15" t="s">
        <v>46</v>
      </c>
      <c r="Z8" s="15" t="s">
        <v>47</v>
      </c>
      <c r="AA8" s="15" t="s">
        <v>48</v>
      </c>
      <c r="AB8" s="15" t="s">
        <v>49</v>
      </c>
      <c r="AC8" s="15" t="s">
        <v>50</v>
      </c>
      <c r="AD8" s="15" t="s">
        <v>51</v>
      </c>
      <c r="AE8" s="15" t="s">
        <v>53</v>
      </c>
      <c r="AF8" s="4"/>
    </row>
    <row r="9" spans="1:45" ht="13.5" customHeight="1" x14ac:dyDescent="0.2">
      <c r="A9" s="2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4"/>
    </row>
    <row r="10" spans="1:45" ht="13.5" customHeight="1" x14ac:dyDescent="0.2">
      <c r="A10" s="2"/>
      <c r="B10" s="32" t="s">
        <v>23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  <c r="AF10" s="19"/>
      <c r="AG10" s="10"/>
      <c r="AH10" s="10"/>
      <c r="AI10" s="10"/>
      <c r="AJ10" s="10"/>
      <c r="AK10" s="20"/>
      <c r="AL10" s="20"/>
      <c r="AM10" s="20"/>
      <c r="AN10" s="20"/>
      <c r="AO10" s="20"/>
      <c r="AP10" s="20"/>
      <c r="AQ10" s="20"/>
      <c r="AR10" s="20"/>
      <c r="AS10" s="20"/>
    </row>
    <row r="11" spans="1:45" ht="13.5" customHeight="1" x14ac:dyDescent="0.2">
      <c r="A11" s="2"/>
      <c r="C11" s="1" t="s">
        <v>24</v>
      </c>
      <c r="D11" s="21">
        <v>7542</v>
      </c>
      <c r="E11" s="21">
        <v>8080</v>
      </c>
      <c r="F11" s="21">
        <v>7934</v>
      </c>
      <c r="G11" s="21">
        <v>8731</v>
      </c>
      <c r="H11" s="21">
        <v>9804</v>
      </c>
      <c r="I11" s="21">
        <v>11929</v>
      </c>
      <c r="J11" s="21">
        <v>15749</v>
      </c>
      <c r="K11" s="21">
        <v>18142</v>
      </c>
      <c r="L11" s="21">
        <v>20218</v>
      </c>
      <c r="M11" s="21">
        <v>21772</v>
      </c>
      <c r="N11" s="21">
        <v>22351</v>
      </c>
      <c r="O11" s="21">
        <v>18256</v>
      </c>
      <c r="P11" s="21">
        <v>22353</v>
      </c>
      <c r="Q11" s="21">
        <v>23368</v>
      </c>
      <c r="R11" s="21">
        <v>28239</v>
      </c>
      <c r="S11" s="21">
        <v>27961</v>
      </c>
      <c r="T11" s="21">
        <v>23731</v>
      </c>
      <c r="U11" s="21">
        <v>25551</v>
      </c>
      <c r="V11" s="21">
        <v>21474</v>
      </c>
      <c r="W11" s="21">
        <v>17306</v>
      </c>
      <c r="X11" s="21">
        <v>18811</v>
      </c>
      <c r="Y11" s="21">
        <v>19534</v>
      </c>
      <c r="Z11" s="21">
        <v>21793</v>
      </c>
      <c r="AA11" s="21">
        <v>22337</v>
      </c>
      <c r="AB11" s="21">
        <v>22853</v>
      </c>
      <c r="AC11" s="21">
        <v>26164</v>
      </c>
      <c r="AD11" s="21">
        <v>28773</v>
      </c>
      <c r="AE11" s="21">
        <v>32457</v>
      </c>
      <c r="AF11" s="4"/>
    </row>
    <row r="12" spans="1:45" ht="13.5" customHeight="1" x14ac:dyDescent="0.2">
      <c r="A12" s="2"/>
      <c r="C12" s="1" t="s">
        <v>25</v>
      </c>
      <c r="D12" s="22">
        <v>486</v>
      </c>
      <c r="E12" s="22">
        <v>795</v>
      </c>
      <c r="F12" s="22">
        <v>182</v>
      </c>
      <c r="G12" s="22">
        <v>446</v>
      </c>
      <c r="H12" s="22">
        <v>322</v>
      </c>
      <c r="I12" s="22">
        <v>481</v>
      </c>
      <c r="J12" s="22">
        <v>120</v>
      </c>
      <c r="K12" s="22">
        <v>239</v>
      </c>
      <c r="L12" s="22">
        <v>314</v>
      </c>
      <c r="M12" s="22">
        <v>171</v>
      </c>
      <c r="N12" s="22">
        <v>5</v>
      </c>
      <c r="O12" s="22">
        <v>19</v>
      </c>
      <c r="P12" s="22">
        <v>41</v>
      </c>
      <c r="Q12" s="22">
        <v>441</v>
      </c>
      <c r="R12" s="22">
        <v>287</v>
      </c>
      <c r="S12" s="22">
        <v>160</v>
      </c>
      <c r="T12" s="22">
        <v>511</v>
      </c>
      <c r="U12" s="22">
        <v>112</v>
      </c>
      <c r="V12" s="22">
        <v>130</v>
      </c>
      <c r="W12" s="22">
        <v>123</v>
      </c>
      <c r="X12" s="22">
        <v>225</v>
      </c>
      <c r="Y12" s="22">
        <v>152</v>
      </c>
      <c r="Z12" s="22">
        <v>191</v>
      </c>
      <c r="AA12" s="22">
        <v>442</v>
      </c>
      <c r="AB12" s="22">
        <v>230</v>
      </c>
      <c r="AC12" s="22">
        <v>172</v>
      </c>
      <c r="AD12" s="22">
        <v>227</v>
      </c>
      <c r="AE12" s="22">
        <v>682</v>
      </c>
      <c r="AF12" s="4"/>
    </row>
    <row r="13" spans="1:45" ht="13.5" customHeight="1" x14ac:dyDescent="0.2">
      <c r="A13" s="2"/>
      <c r="C13" s="1" t="s">
        <v>26</v>
      </c>
      <c r="D13" s="22">
        <v>2364</v>
      </c>
      <c r="E13" s="22">
        <v>1575</v>
      </c>
      <c r="F13" s="22">
        <v>1361</v>
      </c>
      <c r="G13" s="22">
        <v>2079</v>
      </c>
      <c r="H13" s="22">
        <v>2543</v>
      </c>
      <c r="I13" s="22">
        <v>3088</v>
      </c>
      <c r="J13" s="22">
        <v>4282</v>
      </c>
      <c r="K13" s="22">
        <v>3540</v>
      </c>
      <c r="L13" s="22">
        <v>6505</v>
      </c>
      <c r="M13" s="22">
        <v>3704</v>
      </c>
      <c r="N13" s="22">
        <v>3148</v>
      </c>
      <c r="O13" s="22">
        <v>1349</v>
      </c>
      <c r="P13" s="22">
        <v>2850</v>
      </c>
      <c r="Q13" s="22">
        <v>3739</v>
      </c>
      <c r="R13" s="22">
        <v>3549</v>
      </c>
      <c r="S13" s="22">
        <v>3230</v>
      </c>
      <c r="T13" s="22">
        <v>3825</v>
      </c>
      <c r="U13" s="22">
        <v>4036</v>
      </c>
      <c r="V13" s="22">
        <v>4507</v>
      </c>
      <c r="W13" s="22">
        <v>5146</v>
      </c>
      <c r="X13" s="22">
        <v>5138</v>
      </c>
      <c r="Y13" s="22">
        <v>5083</v>
      </c>
      <c r="Z13" s="22">
        <v>5209</v>
      </c>
      <c r="AA13" s="22">
        <v>4514</v>
      </c>
      <c r="AB13" s="22">
        <v>4602</v>
      </c>
      <c r="AC13" s="22">
        <v>4007</v>
      </c>
      <c r="AD13" s="22">
        <v>4559</v>
      </c>
      <c r="AE13" s="22">
        <v>3907</v>
      </c>
      <c r="AF13" s="4"/>
    </row>
    <row r="14" spans="1:45" ht="13.5" customHeight="1" x14ac:dyDescent="0.2">
      <c r="A14" s="2"/>
      <c r="C14" s="1" t="s">
        <v>31</v>
      </c>
      <c r="D14" s="22">
        <v>8600</v>
      </c>
      <c r="E14" s="22">
        <v>9845</v>
      </c>
      <c r="F14" s="22">
        <v>10838</v>
      </c>
      <c r="G14" s="22">
        <v>12996</v>
      </c>
      <c r="H14" s="22">
        <v>10892</v>
      </c>
      <c r="I14" s="22">
        <v>11530</v>
      </c>
      <c r="J14" s="22">
        <v>11577</v>
      </c>
      <c r="K14" s="22">
        <v>12311</v>
      </c>
      <c r="L14" s="22">
        <v>12674</v>
      </c>
      <c r="M14" s="22">
        <v>10775</v>
      </c>
      <c r="N14" s="22">
        <v>11082</v>
      </c>
      <c r="O14" s="22">
        <v>8945</v>
      </c>
      <c r="P14" s="22">
        <v>9414</v>
      </c>
      <c r="Q14" s="22">
        <v>7373</v>
      </c>
      <c r="R14" s="22">
        <v>4495</v>
      </c>
      <c r="S14" s="22">
        <v>4385</v>
      </c>
      <c r="T14" s="22">
        <v>5434</v>
      </c>
      <c r="U14" s="22">
        <v>4934</v>
      </c>
      <c r="V14" s="22">
        <v>10829</v>
      </c>
      <c r="W14" s="22">
        <v>10564</v>
      </c>
      <c r="X14" s="22">
        <v>9675</v>
      </c>
      <c r="Y14" s="22">
        <v>11221</v>
      </c>
      <c r="Z14" s="22">
        <v>13551</v>
      </c>
      <c r="AA14" s="22">
        <v>17444</v>
      </c>
      <c r="AB14" s="22">
        <v>16360</v>
      </c>
      <c r="AC14" s="22">
        <v>18490</v>
      </c>
      <c r="AD14" s="22">
        <v>14397</v>
      </c>
      <c r="AE14" s="22">
        <v>17298</v>
      </c>
      <c r="AF14" s="4"/>
    </row>
    <row r="15" spans="1:45" ht="13.5" customHeight="1" x14ac:dyDescent="0.2">
      <c r="A15" s="2"/>
      <c r="C15" s="1" t="s">
        <v>28</v>
      </c>
      <c r="D15" s="23">
        <v>1243</v>
      </c>
      <c r="E15" s="23">
        <v>600</v>
      </c>
      <c r="F15" s="23">
        <v>1425</v>
      </c>
      <c r="G15" s="23">
        <v>1641</v>
      </c>
      <c r="H15" s="23">
        <v>2407</v>
      </c>
      <c r="I15" s="23">
        <v>1771</v>
      </c>
      <c r="J15" s="23">
        <v>493</v>
      </c>
      <c r="K15" s="23">
        <v>1766</v>
      </c>
      <c r="L15" s="23">
        <v>1531</v>
      </c>
      <c r="M15" s="23">
        <v>1915</v>
      </c>
      <c r="N15" s="23">
        <v>798</v>
      </c>
      <c r="O15" s="23">
        <v>1826</v>
      </c>
      <c r="P15" s="23">
        <v>1819</v>
      </c>
      <c r="Q15" s="23">
        <v>545</v>
      </c>
      <c r="R15" s="23">
        <f>473+216</f>
        <v>689</v>
      </c>
      <c r="S15" s="23">
        <f>300+289</f>
        <v>589</v>
      </c>
      <c r="T15" s="23">
        <f>195+101</f>
        <v>296</v>
      </c>
      <c r="U15" s="23">
        <f>369+398</f>
        <v>767</v>
      </c>
      <c r="V15" s="23">
        <f>433+1136</f>
        <v>1569</v>
      </c>
      <c r="W15" s="23">
        <f>1039+966</f>
        <v>2005</v>
      </c>
      <c r="X15" s="23">
        <f>557+1125</f>
        <v>1682</v>
      </c>
      <c r="Y15" s="23">
        <f>835+1133</f>
        <v>1968</v>
      </c>
      <c r="Z15" s="23">
        <v>1913</v>
      </c>
      <c r="AA15" s="23">
        <v>2784</v>
      </c>
      <c r="AB15" s="23">
        <v>2768</v>
      </c>
      <c r="AC15" s="23">
        <v>2836</v>
      </c>
      <c r="AD15" s="23">
        <v>3286</v>
      </c>
      <c r="AE15" s="23">
        <v>6501</v>
      </c>
      <c r="AF15" s="4"/>
    </row>
    <row r="16" spans="1:45" ht="13.5" customHeight="1" x14ac:dyDescent="0.2">
      <c r="A16" s="2"/>
      <c r="D16" s="21">
        <f t="shared" ref="D16:Q16" si="0">SUM(D11:D15)</f>
        <v>20235</v>
      </c>
      <c r="E16" s="21">
        <f t="shared" si="0"/>
        <v>20895</v>
      </c>
      <c r="F16" s="21">
        <f t="shared" si="0"/>
        <v>21740</v>
      </c>
      <c r="G16" s="21">
        <f t="shared" si="0"/>
        <v>25893</v>
      </c>
      <c r="H16" s="21">
        <f t="shared" si="0"/>
        <v>25968</v>
      </c>
      <c r="I16" s="21">
        <f t="shared" si="0"/>
        <v>28799</v>
      </c>
      <c r="J16" s="21">
        <f t="shared" si="0"/>
        <v>32221</v>
      </c>
      <c r="K16" s="21">
        <f t="shared" si="0"/>
        <v>35998</v>
      </c>
      <c r="L16" s="21">
        <f t="shared" si="0"/>
        <v>41242</v>
      </c>
      <c r="M16" s="21">
        <f t="shared" si="0"/>
        <v>38337</v>
      </c>
      <c r="N16" s="21">
        <f t="shared" si="0"/>
        <v>37384</v>
      </c>
      <c r="O16" s="21">
        <f t="shared" si="0"/>
        <v>30395</v>
      </c>
      <c r="P16" s="21">
        <f t="shared" si="0"/>
        <v>36477</v>
      </c>
      <c r="Q16" s="21">
        <f t="shared" si="0"/>
        <v>35466</v>
      </c>
      <c r="R16" s="21">
        <f t="shared" ref="R16:X16" si="1">SUM(R11:R15)</f>
        <v>37259</v>
      </c>
      <c r="S16" s="21">
        <f t="shared" si="1"/>
        <v>36325</v>
      </c>
      <c r="T16" s="21">
        <f t="shared" si="1"/>
        <v>33797</v>
      </c>
      <c r="U16" s="21">
        <f t="shared" si="1"/>
        <v>35400</v>
      </c>
      <c r="V16" s="21">
        <f t="shared" si="1"/>
        <v>38509</v>
      </c>
      <c r="W16" s="21">
        <f t="shared" si="1"/>
        <v>35144</v>
      </c>
      <c r="X16" s="21">
        <f t="shared" si="1"/>
        <v>35531</v>
      </c>
      <c r="Y16" s="21">
        <f t="shared" ref="Y16:Z16" si="2">SUM(Y11:Y15)</f>
        <v>37958</v>
      </c>
      <c r="Z16" s="21">
        <f t="shared" si="2"/>
        <v>42657</v>
      </c>
      <c r="AA16" s="21">
        <f t="shared" ref="AA16:AB16" si="3">SUM(AA11:AA15)</f>
        <v>47521</v>
      </c>
      <c r="AB16" s="21">
        <f t="shared" si="3"/>
        <v>46813</v>
      </c>
      <c r="AC16" s="21">
        <f t="shared" ref="AC16:AD16" si="4">SUM(AC11:AC15)</f>
        <v>51669</v>
      </c>
      <c r="AD16" s="21">
        <f t="shared" si="4"/>
        <v>51242</v>
      </c>
      <c r="AE16" s="21">
        <f t="shared" ref="AE16" si="5">SUM(AE11:AE15)</f>
        <v>60845</v>
      </c>
      <c r="AF16" s="4"/>
    </row>
    <row r="17" spans="1:32" ht="13.5" customHeight="1" x14ac:dyDescent="0.2">
      <c r="A17" s="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4"/>
    </row>
    <row r="18" spans="1:32" ht="13.5" customHeight="1" x14ac:dyDescent="0.2">
      <c r="A18" s="2"/>
      <c r="B18" s="32" t="s">
        <v>29</v>
      </c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4"/>
    </row>
    <row r="19" spans="1:32" ht="13.5" customHeight="1" x14ac:dyDescent="0.2">
      <c r="A19" s="2"/>
      <c r="C19" s="1" t="s">
        <v>24</v>
      </c>
      <c r="D19" s="21"/>
      <c r="E19" s="21"/>
      <c r="F19" s="21"/>
      <c r="G19" s="21">
        <v>0</v>
      </c>
      <c r="H19" s="21">
        <v>16</v>
      </c>
      <c r="I19" s="21">
        <v>14</v>
      </c>
      <c r="J19" s="21">
        <v>10</v>
      </c>
      <c r="K19" s="21">
        <v>4</v>
      </c>
      <c r="L19" s="21">
        <v>12</v>
      </c>
      <c r="M19" s="21">
        <v>78</v>
      </c>
      <c r="N19" s="21">
        <v>1371</v>
      </c>
      <c r="O19" s="21">
        <v>542</v>
      </c>
      <c r="P19" s="21">
        <v>0</v>
      </c>
      <c r="Q19" s="21">
        <v>180</v>
      </c>
      <c r="R19" s="21">
        <v>0</v>
      </c>
      <c r="S19" s="21">
        <v>0</v>
      </c>
      <c r="T19" s="21">
        <v>0</v>
      </c>
      <c r="U19" s="21">
        <v>20</v>
      </c>
      <c r="V19" s="21">
        <v>337</v>
      </c>
      <c r="W19" s="21">
        <v>326</v>
      </c>
      <c r="X19" s="21">
        <v>22</v>
      </c>
      <c r="Y19" s="21">
        <v>33</v>
      </c>
      <c r="Z19" s="21">
        <v>42</v>
      </c>
      <c r="AA19" s="21">
        <v>89</v>
      </c>
      <c r="AB19" s="21">
        <v>7</v>
      </c>
      <c r="AC19" s="21">
        <v>0</v>
      </c>
      <c r="AD19" s="21">
        <v>19</v>
      </c>
      <c r="AE19" s="21">
        <v>0</v>
      </c>
      <c r="AF19" s="4"/>
    </row>
    <row r="20" spans="1:32" ht="13.5" customHeight="1" x14ac:dyDescent="0.2">
      <c r="A20" s="2"/>
      <c r="C20" s="1" t="s">
        <v>25</v>
      </c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>
        <v>0</v>
      </c>
      <c r="S20" s="22">
        <v>0</v>
      </c>
      <c r="T20" s="22">
        <v>0</v>
      </c>
      <c r="U20" s="22">
        <v>0</v>
      </c>
      <c r="V20" s="22">
        <v>50</v>
      </c>
      <c r="W20" s="22">
        <v>38</v>
      </c>
      <c r="X20" s="22">
        <v>0</v>
      </c>
      <c r="Y20" s="22">
        <v>56</v>
      </c>
      <c r="Z20" s="22">
        <v>0</v>
      </c>
      <c r="AA20" s="22">
        <v>0</v>
      </c>
      <c r="AB20" s="22">
        <v>0</v>
      </c>
      <c r="AC20" s="22">
        <v>0</v>
      </c>
      <c r="AD20" s="22">
        <v>0</v>
      </c>
      <c r="AE20" s="22">
        <v>0</v>
      </c>
      <c r="AF20" s="4"/>
    </row>
    <row r="21" spans="1:32" ht="13.5" customHeight="1" x14ac:dyDescent="0.2">
      <c r="A21" s="2"/>
      <c r="C21" s="1" t="s">
        <v>26</v>
      </c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>
        <v>0</v>
      </c>
      <c r="S21" s="22">
        <v>0</v>
      </c>
      <c r="T21" s="22">
        <v>0</v>
      </c>
      <c r="U21" s="22">
        <v>0</v>
      </c>
      <c r="V21" s="22">
        <v>0</v>
      </c>
      <c r="W21" s="22">
        <v>25</v>
      </c>
      <c r="X21" s="22">
        <v>0</v>
      </c>
      <c r="Y21" s="22">
        <v>0</v>
      </c>
      <c r="Z21" s="22">
        <v>0</v>
      </c>
      <c r="AA21" s="22">
        <v>0</v>
      </c>
      <c r="AB21" s="22">
        <v>2</v>
      </c>
      <c r="AC21" s="22">
        <v>0</v>
      </c>
      <c r="AD21" s="22">
        <v>0</v>
      </c>
      <c r="AE21" s="22">
        <v>0</v>
      </c>
      <c r="AF21" s="4"/>
    </row>
    <row r="22" spans="1:32" ht="13.5" customHeight="1" x14ac:dyDescent="0.2">
      <c r="A22" s="2"/>
      <c r="C22" s="1" t="s">
        <v>31</v>
      </c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>
        <v>5004</v>
      </c>
      <c r="S22" s="22">
        <v>5256</v>
      </c>
      <c r="T22" s="22">
        <v>4791</v>
      </c>
      <c r="U22" s="22">
        <v>4975</v>
      </c>
      <c r="V22" s="22">
        <v>168</v>
      </c>
      <c r="W22" s="22">
        <v>184</v>
      </c>
      <c r="X22" s="22">
        <v>196</v>
      </c>
      <c r="Y22" s="22">
        <v>196</v>
      </c>
      <c r="Z22" s="22">
        <v>286</v>
      </c>
      <c r="AA22" s="22">
        <v>197</v>
      </c>
      <c r="AB22" s="22">
        <v>176</v>
      </c>
      <c r="AC22" s="22">
        <v>1382</v>
      </c>
      <c r="AD22" s="22">
        <v>1596</v>
      </c>
      <c r="AE22" s="22">
        <v>549</v>
      </c>
      <c r="AF22" s="4"/>
    </row>
    <row r="23" spans="1:32" ht="13.5" customHeight="1" x14ac:dyDescent="0.2">
      <c r="A23" s="2"/>
      <c r="C23" s="1" t="s">
        <v>28</v>
      </c>
      <c r="D23" s="22"/>
      <c r="E23" s="22"/>
      <c r="F23" s="22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>
        <v>0</v>
      </c>
      <c r="S23" s="23">
        <v>0</v>
      </c>
      <c r="T23" s="23">
        <v>0</v>
      </c>
      <c r="U23" s="23">
        <f>0+2</f>
        <v>2</v>
      </c>
      <c r="V23" s="23">
        <f>0+1</f>
        <v>1</v>
      </c>
      <c r="W23" s="23">
        <f>125+0</f>
        <v>125</v>
      </c>
      <c r="X23" s="23">
        <f>1+6</f>
        <v>7</v>
      </c>
      <c r="Y23" s="23">
        <v>0</v>
      </c>
      <c r="Z23" s="23">
        <v>1</v>
      </c>
      <c r="AA23" s="23">
        <v>0</v>
      </c>
      <c r="AB23" s="23">
        <v>3</v>
      </c>
      <c r="AC23" s="23">
        <v>1386</v>
      </c>
      <c r="AD23" s="23">
        <v>500</v>
      </c>
      <c r="AE23" s="23">
        <v>102</v>
      </c>
      <c r="AF23" s="4"/>
    </row>
    <row r="24" spans="1:32" ht="13.5" customHeight="1" x14ac:dyDescent="0.2">
      <c r="A24" s="2"/>
      <c r="D24" s="21"/>
      <c r="E24" s="21"/>
      <c r="F24" s="21"/>
      <c r="G24" s="21">
        <v>5</v>
      </c>
      <c r="H24" s="21">
        <v>197</v>
      </c>
      <c r="I24" s="21">
        <v>79</v>
      </c>
      <c r="J24" s="21">
        <v>240</v>
      </c>
      <c r="K24" s="21">
        <v>3506</v>
      </c>
      <c r="L24" s="21">
        <v>5146</v>
      </c>
      <c r="M24" s="21">
        <v>2495</v>
      </c>
      <c r="N24" s="21">
        <v>1890</v>
      </c>
      <c r="O24" s="21">
        <v>773</v>
      </c>
      <c r="P24" s="21">
        <v>56</v>
      </c>
      <c r="Q24" s="21">
        <v>206</v>
      </c>
      <c r="R24" s="21">
        <f t="shared" ref="R24:X24" si="6">SUM(R19:R23)</f>
        <v>5004</v>
      </c>
      <c r="S24" s="21">
        <f t="shared" si="6"/>
        <v>5256</v>
      </c>
      <c r="T24" s="21">
        <f t="shared" si="6"/>
        <v>4791</v>
      </c>
      <c r="U24" s="21">
        <f t="shared" si="6"/>
        <v>4997</v>
      </c>
      <c r="V24" s="21">
        <f t="shared" si="6"/>
        <v>556</v>
      </c>
      <c r="W24" s="21">
        <f t="shared" si="6"/>
        <v>698</v>
      </c>
      <c r="X24" s="21">
        <f t="shared" si="6"/>
        <v>225</v>
      </c>
      <c r="Y24" s="21">
        <f t="shared" ref="Y24:Z24" si="7">SUM(Y19:Y23)</f>
        <v>285</v>
      </c>
      <c r="Z24" s="21">
        <f t="shared" si="7"/>
        <v>329</v>
      </c>
      <c r="AA24" s="21">
        <f t="shared" ref="AA24:AB24" si="8">SUM(AA19:AA23)</f>
        <v>286</v>
      </c>
      <c r="AB24" s="21">
        <f t="shared" si="8"/>
        <v>188</v>
      </c>
      <c r="AC24" s="21">
        <f t="shared" ref="AC24:AD24" si="9">SUM(AC19:AC23)</f>
        <v>2768</v>
      </c>
      <c r="AD24" s="21">
        <f t="shared" si="9"/>
        <v>2115</v>
      </c>
      <c r="AE24" s="21">
        <f t="shared" ref="AE24" si="10">SUM(AE19:AE23)</f>
        <v>651</v>
      </c>
      <c r="AF24" s="4"/>
    </row>
    <row r="25" spans="1:32" ht="13.5" customHeight="1" x14ac:dyDescent="0.2">
      <c r="A25" s="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4"/>
    </row>
    <row r="26" spans="1:32" ht="13.5" customHeight="1" x14ac:dyDescent="0.2">
      <c r="A26" s="2"/>
      <c r="B26" s="32" t="s">
        <v>30</v>
      </c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4"/>
    </row>
    <row r="27" spans="1:32" ht="13.5" customHeight="1" x14ac:dyDescent="0.2">
      <c r="A27" s="2"/>
      <c r="C27" s="1" t="s">
        <v>24</v>
      </c>
      <c r="D27" s="21"/>
      <c r="E27" s="21"/>
      <c r="F27" s="21"/>
      <c r="G27" s="21">
        <f>G11+G19</f>
        <v>8731</v>
      </c>
      <c r="H27" s="21">
        <f>H11+H19</f>
        <v>9820</v>
      </c>
      <c r="I27" s="21">
        <f>I11+I19</f>
        <v>11943</v>
      </c>
      <c r="J27" s="21">
        <f t="shared" ref="J27:V31" si="11">J11+J19</f>
        <v>15759</v>
      </c>
      <c r="K27" s="21">
        <f t="shared" si="11"/>
        <v>18146</v>
      </c>
      <c r="L27" s="21">
        <f t="shared" si="11"/>
        <v>20230</v>
      </c>
      <c r="M27" s="21">
        <f t="shared" si="11"/>
        <v>21850</v>
      </c>
      <c r="N27" s="21">
        <f t="shared" si="11"/>
        <v>23722</v>
      </c>
      <c r="O27" s="21">
        <f t="shared" si="11"/>
        <v>18798</v>
      </c>
      <c r="P27" s="21">
        <f t="shared" si="11"/>
        <v>22353</v>
      </c>
      <c r="Q27" s="21">
        <f t="shared" si="11"/>
        <v>23548</v>
      </c>
      <c r="R27" s="21">
        <f t="shared" si="11"/>
        <v>28239</v>
      </c>
      <c r="S27" s="21">
        <f t="shared" si="11"/>
        <v>27961</v>
      </c>
      <c r="T27" s="21">
        <f t="shared" si="11"/>
        <v>23731</v>
      </c>
      <c r="U27" s="21">
        <f t="shared" si="11"/>
        <v>25571</v>
      </c>
      <c r="V27" s="21">
        <f t="shared" si="11"/>
        <v>21811</v>
      </c>
      <c r="W27" s="21">
        <f t="shared" ref="W27:X27" si="12">W11+W19</f>
        <v>17632</v>
      </c>
      <c r="X27" s="21">
        <f t="shared" si="12"/>
        <v>18833</v>
      </c>
      <c r="Y27" s="21">
        <f t="shared" ref="Y27:Z27" si="13">Y11+Y19</f>
        <v>19567</v>
      </c>
      <c r="Z27" s="21">
        <f t="shared" si="13"/>
        <v>21835</v>
      </c>
      <c r="AA27" s="21">
        <f t="shared" ref="AA27:AB27" si="14">AA11+AA19</f>
        <v>22426</v>
      </c>
      <c r="AB27" s="21">
        <f t="shared" si="14"/>
        <v>22860</v>
      </c>
      <c r="AC27" s="21">
        <f t="shared" ref="AC27:AD27" si="15">AC11+AC19</f>
        <v>26164</v>
      </c>
      <c r="AD27" s="21">
        <f t="shared" si="15"/>
        <v>28792</v>
      </c>
      <c r="AE27" s="21">
        <f t="shared" ref="AE27" si="16">AE11+AE19</f>
        <v>32457</v>
      </c>
      <c r="AF27" s="4"/>
    </row>
    <row r="28" spans="1:32" ht="13.5" customHeight="1" x14ac:dyDescent="0.2">
      <c r="A28" s="2"/>
      <c r="C28" s="1" t="s">
        <v>25</v>
      </c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>
        <f t="shared" si="11"/>
        <v>287</v>
      </c>
      <c r="S28" s="22">
        <f t="shared" si="11"/>
        <v>160</v>
      </c>
      <c r="T28" s="22">
        <f t="shared" si="11"/>
        <v>511</v>
      </c>
      <c r="U28" s="22">
        <f t="shared" si="11"/>
        <v>112</v>
      </c>
      <c r="V28" s="22">
        <f t="shared" si="11"/>
        <v>180</v>
      </c>
      <c r="W28" s="22">
        <f t="shared" ref="W28:X28" si="17">W12+W20</f>
        <v>161</v>
      </c>
      <c r="X28" s="22">
        <f t="shared" si="17"/>
        <v>225</v>
      </c>
      <c r="Y28" s="22">
        <f t="shared" ref="Y28:Z28" si="18">Y12+Y20</f>
        <v>208</v>
      </c>
      <c r="Z28" s="22">
        <f t="shared" si="18"/>
        <v>191</v>
      </c>
      <c r="AA28" s="22">
        <f t="shared" ref="AA28:AB28" si="19">AA12+AA20</f>
        <v>442</v>
      </c>
      <c r="AB28" s="22">
        <f t="shared" si="19"/>
        <v>230</v>
      </c>
      <c r="AC28" s="22">
        <f t="shared" ref="AC28:AD28" si="20">AC12+AC20</f>
        <v>172</v>
      </c>
      <c r="AD28" s="22">
        <f t="shared" si="20"/>
        <v>227</v>
      </c>
      <c r="AE28" s="22">
        <f t="shared" ref="AE28" si="21">AE12+AE20</f>
        <v>682</v>
      </c>
      <c r="AF28" s="4"/>
    </row>
    <row r="29" spans="1:32" ht="13.5" customHeight="1" x14ac:dyDescent="0.2">
      <c r="A29" s="2"/>
      <c r="C29" s="1" t="s">
        <v>26</v>
      </c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>
        <f t="shared" si="11"/>
        <v>3549</v>
      </c>
      <c r="S29" s="22">
        <f t="shared" si="11"/>
        <v>3230</v>
      </c>
      <c r="T29" s="22">
        <f>T13+T21</f>
        <v>3825</v>
      </c>
      <c r="U29" s="22">
        <f t="shared" si="11"/>
        <v>4036</v>
      </c>
      <c r="V29" s="22">
        <f t="shared" si="11"/>
        <v>4507</v>
      </c>
      <c r="W29" s="22">
        <f t="shared" ref="W29:X29" si="22">W13+W21</f>
        <v>5171</v>
      </c>
      <c r="X29" s="22">
        <f t="shared" si="22"/>
        <v>5138</v>
      </c>
      <c r="Y29" s="22">
        <f t="shared" ref="Y29:Z29" si="23">Y13+Y21</f>
        <v>5083</v>
      </c>
      <c r="Z29" s="22">
        <f t="shared" si="23"/>
        <v>5209</v>
      </c>
      <c r="AA29" s="22">
        <f t="shared" ref="AA29:AB29" si="24">AA13+AA21</f>
        <v>4514</v>
      </c>
      <c r="AB29" s="22">
        <f t="shared" si="24"/>
        <v>4604</v>
      </c>
      <c r="AC29" s="22">
        <f t="shared" ref="AC29:AD29" si="25">AC13+AC21</f>
        <v>4007</v>
      </c>
      <c r="AD29" s="22">
        <f t="shared" si="25"/>
        <v>4559</v>
      </c>
      <c r="AE29" s="22">
        <f t="shared" ref="AE29" si="26">AE13+AE21</f>
        <v>3907</v>
      </c>
      <c r="AF29" s="4"/>
    </row>
    <row r="30" spans="1:32" ht="13.5" customHeight="1" x14ac:dyDescent="0.2">
      <c r="A30" s="2"/>
      <c r="C30" s="1" t="s">
        <v>31</v>
      </c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>
        <f t="shared" si="11"/>
        <v>9499</v>
      </c>
      <c r="S30" s="22">
        <f t="shared" si="11"/>
        <v>9641</v>
      </c>
      <c r="T30" s="22">
        <f t="shared" si="11"/>
        <v>10225</v>
      </c>
      <c r="U30" s="22">
        <f t="shared" si="11"/>
        <v>9909</v>
      </c>
      <c r="V30" s="22">
        <f t="shared" si="11"/>
        <v>10997</v>
      </c>
      <c r="W30" s="22">
        <f t="shared" ref="W30:X30" si="27">W14+W22</f>
        <v>10748</v>
      </c>
      <c r="X30" s="22">
        <f t="shared" si="27"/>
        <v>9871</v>
      </c>
      <c r="Y30" s="22">
        <f t="shared" ref="Y30:Z30" si="28">Y14+Y22</f>
        <v>11417</v>
      </c>
      <c r="Z30" s="22">
        <f t="shared" si="28"/>
        <v>13837</v>
      </c>
      <c r="AA30" s="22">
        <f t="shared" ref="AA30:AB30" si="29">AA14+AA22</f>
        <v>17641</v>
      </c>
      <c r="AB30" s="22">
        <f t="shared" si="29"/>
        <v>16536</v>
      </c>
      <c r="AC30" s="22">
        <f t="shared" ref="AC30:AD30" si="30">AC14+AC22</f>
        <v>19872</v>
      </c>
      <c r="AD30" s="22">
        <f t="shared" si="30"/>
        <v>15993</v>
      </c>
      <c r="AE30" s="22">
        <f t="shared" ref="AE30" si="31">AE14+AE22</f>
        <v>17847</v>
      </c>
      <c r="AF30" s="4"/>
    </row>
    <row r="31" spans="1:32" ht="13.5" customHeight="1" x14ac:dyDescent="0.2">
      <c r="A31" s="2"/>
      <c r="C31" s="1" t="s">
        <v>28</v>
      </c>
      <c r="D31" s="22"/>
      <c r="E31" s="22"/>
      <c r="F31" s="22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>
        <f t="shared" si="11"/>
        <v>689</v>
      </c>
      <c r="S31" s="23">
        <f t="shared" si="11"/>
        <v>589</v>
      </c>
      <c r="T31" s="23">
        <f t="shared" si="11"/>
        <v>296</v>
      </c>
      <c r="U31" s="23">
        <f t="shared" si="11"/>
        <v>769</v>
      </c>
      <c r="V31" s="23">
        <f t="shared" si="11"/>
        <v>1570</v>
      </c>
      <c r="W31" s="23">
        <f t="shared" ref="W31:X31" si="32">W15+W23</f>
        <v>2130</v>
      </c>
      <c r="X31" s="23">
        <f t="shared" si="32"/>
        <v>1689</v>
      </c>
      <c r="Y31" s="23">
        <f t="shared" ref="Y31:Z31" si="33">Y15+Y23</f>
        <v>1968</v>
      </c>
      <c r="Z31" s="23">
        <f t="shared" si="33"/>
        <v>1914</v>
      </c>
      <c r="AA31" s="23">
        <f t="shared" ref="AA31:AB31" si="34">AA15+AA23</f>
        <v>2784</v>
      </c>
      <c r="AB31" s="23">
        <f t="shared" si="34"/>
        <v>2771</v>
      </c>
      <c r="AC31" s="23">
        <f t="shared" ref="AC31:AD31" si="35">AC15+AC23</f>
        <v>4222</v>
      </c>
      <c r="AD31" s="23">
        <f t="shared" si="35"/>
        <v>3786</v>
      </c>
      <c r="AE31" s="23">
        <f t="shared" ref="AE31" si="36">AE15+AE23</f>
        <v>6603</v>
      </c>
      <c r="AF31" s="4"/>
    </row>
    <row r="32" spans="1:32" ht="13.5" customHeight="1" x14ac:dyDescent="0.2">
      <c r="A32" s="2"/>
      <c r="D32" s="21"/>
      <c r="E32" s="21"/>
      <c r="F32" s="21"/>
      <c r="G32" s="21">
        <f>G16+G24</f>
        <v>25898</v>
      </c>
      <c r="H32" s="21">
        <f>H16+H24</f>
        <v>26165</v>
      </c>
      <c r="I32" s="21">
        <f>I16+I24</f>
        <v>28878</v>
      </c>
      <c r="J32" s="21">
        <f t="shared" ref="J32:O32" si="37">J16+J24</f>
        <v>32461</v>
      </c>
      <c r="K32" s="21">
        <f t="shared" si="37"/>
        <v>39504</v>
      </c>
      <c r="L32" s="21">
        <f t="shared" si="37"/>
        <v>46388</v>
      </c>
      <c r="M32" s="21">
        <f t="shared" si="37"/>
        <v>40832</v>
      </c>
      <c r="N32" s="21">
        <f t="shared" si="37"/>
        <v>39274</v>
      </c>
      <c r="O32" s="21">
        <f t="shared" si="37"/>
        <v>31168</v>
      </c>
      <c r="P32" s="21">
        <f>P16+P24</f>
        <v>36533</v>
      </c>
      <c r="Q32" s="21">
        <f>Q16+Q24</f>
        <v>35672</v>
      </c>
      <c r="R32" s="21">
        <f t="shared" ref="R32:X32" si="38">SUM(R27:R31)</f>
        <v>42263</v>
      </c>
      <c r="S32" s="21">
        <f t="shared" si="38"/>
        <v>41581</v>
      </c>
      <c r="T32" s="21">
        <f t="shared" si="38"/>
        <v>38588</v>
      </c>
      <c r="U32" s="21">
        <f t="shared" si="38"/>
        <v>40397</v>
      </c>
      <c r="V32" s="21">
        <f t="shared" si="38"/>
        <v>39065</v>
      </c>
      <c r="W32" s="21">
        <f t="shared" si="38"/>
        <v>35842</v>
      </c>
      <c r="X32" s="21">
        <f t="shared" si="38"/>
        <v>35756</v>
      </c>
      <c r="Y32" s="21">
        <f t="shared" ref="Y32:Z32" si="39">SUM(Y27:Y31)</f>
        <v>38243</v>
      </c>
      <c r="Z32" s="21">
        <f t="shared" si="39"/>
        <v>42986</v>
      </c>
      <c r="AA32" s="21">
        <f t="shared" ref="AA32:AB32" si="40">SUM(AA27:AA31)</f>
        <v>47807</v>
      </c>
      <c r="AB32" s="21">
        <f t="shared" si="40"/>
        <v>47001</v>
      </c>
      <c r="AC32" s="21">
        <f t="shared" ref="AC32:AD32" si="41">SUM(AC27:AC31)</f>
        <v>54437</v>
      </c>
      <c r="AD32" s="21">
        <f t="shared" si="41"/>
        <v>53357</v>
      </c>
      <c r="AE32" s="21">
        <f t="shared" ref="AE32" si="42">SUM(AE27:AE31)</f>
        <v>61496</v>
      </c>
      <c r="AF32" s="4"/>
    </row>
    <row r="33" spans="1:32" ht="13.5" customHeight="1" x14ac:dyDescent="0.2">
      <c r="A33" s="2"/>
      <c r="B33" s="24"/>
      <c r="C33" s="24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3"/>
      <c r="AC33" s="23"/>
      <c r="AD33" s="23"/>
      <c r="AE33" s="23"/>
      <c r="AF33" s="4"/>
    </row>
    <row r="34" spans="1:32" ht="13.5" customHeight="1" x14ac:dyDescent="0.2">
      <c r="A34" s="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4"/>
    </row>
    <row r="35" spans="1:32" ht="13.5" customHeight="1" x14ac:dyDescent="0.2">
      <c r="A35" s="2"/>
      <c r="B35" s="1" t="s">
        <v>41</v>
      </c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25"/>
      <c r="AD35" s="25"/>
      <c r="AE35" s="25"/>
      <c r="AF35" s="4"/>
    </row>
    <row r="36" spans="1:32" ht="13.5" customHeight="1" x14ac:dyDescent="0.2">
      <c r="A36" s="2"/>
      <c r="B36" s="1" t="s">
        <v>42</v>
      </c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4"/>
    </row>
    <row r="37" spans="1:32" ht="13.5" customHeight="1" x14ac:dyDescent="0.2">
      <c r="A37" s="2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4"/>
    </row>
    <row r="38" spans="1:32" ht="13.5" customHeight="1" x14ac:dyDescent="0.2">
      <c r="A38" s="2"/>
      <c r="B38" s="1" t="s">
        <v>33</v>
      </c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4"/>
    </row>
    <row r="39" spans="1:32" ht="13.5" customHeight="1" x14ac:dyDescent="0.2">
      <c r="A39" s="2"/>
      <c r="B39" s="1" t="s">
        <v>34</v>
      </c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4"/>
    </row>
    <row r="40" spans="1:32" ht="13.5" customHeight="1" x14ac:dyDescent="0.2">
      <c r="A40" s="2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4"/>
    </row>
    <row r="41" spans="1:32" ht="13.5" customHeight="1" x14ac:dyDescent="0.2">
      <c r="A41" s="2"/>
      <c r="B41" s="1" t="s">
        <v>35</v>
      </c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4"/>
    </row>
    <row r="42" spans="1:32" ht="13.5" customHeight="1" x14ac:dyDescent="0.2">
      <c r="A42" s="2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4"/>
    </row>
    <row r="43" spans="1:32" ht="13.5" customHeight="1" x14ac:dyDescent="0.2">
      <c r="A43" s="27"/>
      <c r="B43" s="24" t="s">
        <v>36</v>
      </c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8"/>
      <c r="W43" s="28"/>
      <c r="X43" s="28"/>
      <c r="Y43" s="28"/>
      <c r="Z43" s="28"/>
      <c r="AA43" s="28"/>
      <c r="AB43" s="28"/>
      <c r="AC43" s="28"/>
      <c r="AD43" s="28"/>
      <c r="AE43" s="28" t="s">
        <v>54</v>
      </c>
      <c r="AF43" s="29"/>
    </row>
  </sheetData>
  <mergeCells count="2">
    <mergeCell ref="A2:AF2"/>
    <mergeCell ref="D7:AE7"/>
  </mergeCells>
  <printOptions horizontalCentered="1"/>
  <pageMargins left="0.7" right="0.45" top="0.5" bottom="0.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AS43"/>
  <sheetViews>
    <sheetView workbookViewId="0"/>
  </sheetViews>
  <sheetFormatPr defaultColWidth="9.140625" defaultRowHeight="13.5" customHeight="1" x14ac:dyDescent="0.2"/>
  <cols>
    <col min="1" max="2" width="2.7109375" style="1" customWidth="1"/>
    <col min="3" max="3" width="19.7109375" style="1" bestFit="1" customWidth="1"/>
    <col min="4" max="25" width="10.7109375" style="1" hidden="1" customWidth="1"/>
    <col min="26" max="31" width="10.7109375" style="1" customWidth="1"/>
    <col min="32" max="32" width="2.7109375" style="1" customWidth="1"/>
    <col min="33" max="16384" width="9.140625" style="1"/>
  </cols>
  <sheetData>
    <row r="2" spans="1:45" ht="15" customHeight="1" x14ac:dyDescent="0.25">
      <c r="A2" s="39" t="s">
        <v>0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1"/>
    </row>
    <row r="3" spans="1:45" ht="13.5" customHeight="1" x14ac:dyDescent="0.2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4"/>
    </row>
    <row r="4" spans="1:45" ht="15" customHeight="1" x14ac:dyDescent="0.2">
      <c r="A4" s="2"/>
      <c r="B4" s="5" t="s">
        <v>1</v>
      </c>
      <c r="C4" s="6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8"/>
    </row>
    <row r="5" spans="1:45" ht="15" customHeight="1" x14ac:dyDescent="0.25">
      <c r="A5" s="2"/>
      <c r="B5" s="9" t="s">
        <v>39</v>
      </c>
      <c r="C5" s="10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8"/>
    </row>
    <row r="6" spans="1:45" ht="13.5" customHeight="1" x14ac:dyDescent="0.2">
      <c r="A6" s="2"/>
      <c r="B6" s="11"/>
      <c r="C6" s="11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8"/>
    </row>
    <row r="7" spans="1:45" ht="13.5" customHeight="1" thickBot="1" x14ac:dyDescent="0.25">
      <c r="A7" s="2"/>
      <c r="D7" s="42" t="s">
        <v>3</v>
      </c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43"/>
      <c r="W7" s="43"/>
      <c r="X7" s="43"/>
      <c r="Y7" s="43"/>
      <c r="Z7" s="43"/>
      <c r="AA7" s="43"/>
      <c r="AB7" s="43"/>
      <c r="AC7" s="43"/>
      <c r="AD7" s="43"/>
      <c r="AE7" s="43"/>
      <c r="AF7" s="4"/>
    </row>
    <row r="8" spans="1:45" ht="13.5" customHeight="1" thickTop="1" x14ac:dyDescent="0.2">
      <c r="A8" s="2"/>
      <c r="B8" s="14"/>
      <c r="C8" s="14"/>
      <c r="D8" s="15" t="s">
        <v>4</v>
      </c>
      <c r="E8" s="15" t="s">
        <v>5</v>
      </c>
      <c r="F8" s="15" t="s">
        <v>6</v>
      </c>
      <c r="G8" s="15" t="s">
        <v>7</v>
      </c>
      <c r="H8" s="15" t="s">
        <v>8</v>
      </c>
      <c r="I8" s="15" t="s">
        <v>9</v>
      </c>
      <c r="J8" s="15" t="s">
        <v>10</v>
      </c>
      <c r="K8" s="15" t="s">
        <v>11</v>
      </c>
      <c r="L8" s="15" t="s">
        <v>12</v>
      </c>
      <c r="M8" s="15" t="s">
        <v>13</v>
      </c>
      <c r="N8" s="15" t="s">
        <v>14</v>
      </c>
      <c r="O8" s="15" t="s">
        <v>15</v>
      </c>
      <c r="P8" s="15" t="s">
        <v>16</v>
      </c>
      <c r="Q8" s="15" t="s">
        <v>17</v>
      </c>
      <c r="R8" s="15" t="s">
        <v>18</v>
      </c>
      <c r="S8" s="15" t="s">
        <v>19</v>
      </c>
      <c r="T8" s="15" t="s">
        <v>20</v>
      </c>
      <c r="U8" s="15" t="s">
        <v>21</v>
      </c>
      <c r="V8" s="15" t="s">
        <v>22</v>
      </c>
      <c r="W8" s="15" t="s">
        <v>44</v>
      </c>
      <c r="X8" s="15" t="s">
        <v>45</v>
      </c>
      <c r="Y8" s="15" t="s">
        <v>46</v>
      </c>
      <c r="Z8" s="15" t="s">
        <v>47</v>
      </c>
      <c r="AA8" s="15" t="s">
        <v>48</v>
      </c>
      <c r="AB8" s="15" t="s">
        <v>49</v>
      </c>
      <c r="AC8" s="15" t="s">
        <v>50</v>
      </c>
      <c r="AD8" s="15" t="s">
        <v>51</v>
      </c>
      <c r="AE8" s="15" t="s">
        <v>53</v>
      </c>
      <c r="AF8" s="4"/>
    </row>
    <row r="9" spans="1:45" ht="13.5" customHeight="1" x14ac:dyDescent="0.2">
      <c r="A9" s="2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4"/>
    </row>
    <row r="10" spans="1:45" ht="13.5" customHeight="1" x14ac:dyDescent="0.2">
      <c r="A10" s="2"/>
      <c r="B10" s="34" t="s">
        <v>23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19"/>
      <c r="AG10" s="10"/>
      <c r="AH10" s="10"/>
      <c r="AI10" s="10"/>
      <c r="AJ10" s="10"/>
      <c r="AK10" s="20"/>
      <c r="AL10" s="20"/>
      <c r="AM10" s="20"/>
      <c r="AN10" s="20"/>
      <c r="AO10" s="20"/>
      <c r="AP10" s="20"/>
      <c r="AQ10" s="20"/>
      <c r="AR10" s="20"/>
      <c r="AS10" s="20"/>
    </row>
    <row r="11" spans="1:45" ht="13.5" customHeight="1" x14ac:dyDescent="0.2">
      <c r="A11" s="2"/>
      <c r="C11" s="1" t="s">
        <v>24</v>
      </c>
      <c r="D11" s="21">
        <v>3349</v>
      </c>
      <c r="E11" s="21">
        <v>3650</v>
      </c>
      <c r="F11" s="21">
        <v>3975</v>
      </c>
      <c r="G11" s="21">
        <v>4841</v>
      </c>
      <c r="H11" s="21">
        <v>4523</v>
      </c>
      <c r="I11" s="21">
        <v>4321</v>
      </c>
      <c r="J11" s="21">
        <v>4755</v>
      </c>
      <c r="K11" s="21">
        <v>4978</v>
      </c>
      <c r="L11" s="21">
        <v>4618</v>
      </c>
      <c r="M11" s="21">
        <v>4470</v>
      </c>
      <c r="N11" s="21">
        <v>5046</v>
      </c>
      <c r="O11" s="21">
        <v>4240</v>
      </c>
      <c r="P11" s="21">
        <v>5424</v>
      </c>
      <c r="Q11" s="21">
        <v>6214</v>
      </c>
      <c r="R11" s="21">
        <v>5886</v>
      </c>
      <c r="S11" s="21">
        <v>8214</v>
      </c>
      <c r="T11" s="21">
        <v>7990</v>
      </c>
      <c r="U11" s="21">
        <v>6821</v>
      </c>
      <c r="V11" s="21">
        <v>5293</v>
      </c>
      <c r="W11" s="21">
        <v>3984</v>
      </c>
      <c r="X11" s="21">
        <v>4343</v>
      </c>
      <c r="Y11" s="21">
        <v>4710</v>
      </c>
      <c r="Z11" s="21">
        <v>5889</v>
      </c>
      <c r="AA11" s="21">
        <v>6759</v>
      </c>
      <c r="AB11" s="21">
        <v>5840</v>
      </c>
      <c r="AC11" s="21">
        <v>5299</v>
      </c>
      <c r="AD11" s="21">
        <v>4278</v>
      </c>
      <c r="AE11" s="21">
        <v>4257</v>
      </c>
      <c r="AF11" s="4"/>
    </row>
    <row r="12" spans="1:45" ht="13.5" customHeight="1" x14ac:dyDescent="0.2">
      <c r="A12" s="2"/>
      <c r="C12" s="1" t="s">
        <v>25</v>
      </c>
      <c r="D12" s="22">
        <v>199</v>
      </c>
      <c r="E12" s="22">
        <v>236</v>
      </c>
      <c r="F12" s="22">
        <v>279</v>
      </c>
      <c r="G12" s="22">
        <v>209</v>
      </c>
      <c r="H12" s="22">
        <v>428</v>
      </c>
      <c r="I12" s="22">
        <v>238</v>
      </c>
      <c r="J12" s="22">
        <v>199</v>
      </c>
      <c r="K12" s="22">
        <v>68</v>
      </c>
      <c r="L12" s="22">
        <v>0</v>
      </c>
      <c r="M12" s="22">
        <v>55</v>
      </c>
      <c r="N12" s="22">
        <v>83</v>
      </c>
      <c r="O12" s="22">
        <v>60</v>
      </c>
      <c r="P12" s="22">
        <v>69</v>
      </c>
      <c r="Q12" s="22">
        <v>10</v>
      </c>
      <c r="R12" s="22">
        <v>273</v>
      </c>
      <c r="S12" s="22">
        <v>9</v>
      </c>
      <c r="T12" s="22">
        <v>60</v>
      </c>
      <c r="U12" s="22">
        <v>29</v>
      </c>
      <c r="V12" s="22">
        <v>135</v>
      </c>
      <c r="W12" s="22">
        <v>179</v>
      </c>
      <c r="X12" s="22">
        <v>150</v>
      </c>
      <c r="Y12" s="22">
        <v>139</v>
      </c>
      <c r="Z12" s="22">
        <v>112</v>
      </c>
      <c r="AA12" s="22">
        <v>98</v>
      </c>
      <c r="AB12" s="22">
        <v>40</v>
      </c>
      <c r="AC12" s="22">
        <v>5</v>
      </c>
      <c r="AD12" s="22">
        <v>33</v>
      </c>
      <c r="AE12" s="22">
        <v>24</v>
      </c>
      <c r="AF12" s="4"/>
    </row>
    <row r="13" spans="1:45" ht="13.5" customHeight="1" x14ac:dyDescent="0.2">
      <c r="A13" s="2"/>
      <c r="C13" s="1" t="s">
        <v>26</v>
      </c>
      <c r="D13" s="22">
        <v>191</v>
      </c>
      <c r="E13" s="22">
        <v>274</v>
      </c>
      <c r="F13" s="22">
        <v>273</v>
      </c>
      <c r="G13" s="22">
        <v>386</v>
      </c>
      <c r="H13" s="22">
        <v>461</v>
      </c>
      <c r="I13" s="22">
        <v>395</v>
      </c>
      <c r="J13" s="22">
        <v>205</v>
      </c>
      <c r="K13" s="22">
        <v>304</v>
      </c>
      <c r="L13" s="22">
        <v>231</v>
      </c>
      <c r="M13" s="22">
        <v>220</v>
      </c>
      <c r="N13" s="22">
        <v>85</v>
      </c>
      <c r="O13" s="22">
        <v>151</v>
      </c>
      <c r="P13" s="22">
        <v>113</v>
      </c>
      <c r="Q13" s="22">
        <v>65</v>
      </c>
      <c r="R13" s="22">
        <v>36</v>
      </c>
      <c r="S13" s="22">
        <v>77</v>
      </c>
      <c r="T13" s="22">
        <v>289</v>
      </c>
      <c r="U13" s="22">
        <v>408</v>
      </c>
      <c r="V13" s="22">
        <v>121</v>
      </c>
      <c r="W13" s="22">
        <v>162</v>
      </c>
      <c r="X13" s="22">
        <v>130</v>
      </c>
      <c r="Y13" s="22">
        <v>112</v>
      </c>
      <c r="Z13" s="22">
        <v>28</v>
      </c>
      <c r="AA13" s="22">
        <v>43</v>
      </c>
      <c r="AB13" s="22">
        <v>609</v>
      </c>
      <c r="AC13" s="22">
        <v>95</v>
      </c>
      <c r="AD13" s="22">
        <v>81</v>
      </c>
      <c r="AE13" s="22">
        <v>105</v>
      </c>
      <c r="AF13" s="4"/>
    </row>
    <row r="14" spans="1:45" ht="13.5" customHeight="1" x14ac:dyDescent="0.2">
      <c r="A14" s="2"/>
      <c r="C14" s="1" t="s">
        <v>31</v>
      </c>
      <c r="D14" s="22">
        <v>3689</v>
      </c>
      <c r="E14" s="22">
        <v>3767</v>
      </c>
      <c r="F14" s="22">
        <v>4656</v>
      </c>
      <c r="G14" s="22">
        <v>4583</v>
      </c>
      <c r="H14" s="22">
        <v>4053</v>
      </c>
      <c r="I14" s="22">
        <v>4722</v>
      </c>
      <c r="J14" s="22">
        <v>6047</v>
      </c>
      <c r="K14" s="22">
        <v>6624</v>
      </c>
      <c r="L14" s="22">
        <v>6842</v>
      </c>
      <c r="M14" s="22">
        <v>6483</v>
      </c>
      <c r="N14" s="22">
        <v>6184</v>
      </c>
      <c r="O14" s="22">
        <v>6193</v>
      </c>
      <c r="P14" s="22">
        <v>6170</v>
      </c>
      <c r="Q14" s="22">
        <v>6106</v>
      </c>
      <c r="R14" s="22">
        <v>3257</v>
      </c>
      <c r="S14" s="22">
        <v>3289</v>
      </c>
      <c r="T14" s="22">
        <v>4181</v>
      </c>
      <c r="U14" s="22">
        <v>4143</v>
      </c>
      <c r="V14" s="22">
        <v>7475</v>
      </c>
      <c r="W14" s="22">
        <v>4538</v>
      </c>
      <c r="X14" s="22">
        <v>5823</v>
      </c>
      <c r="Y14" s="22">
        <v>4065</v>
      </c>
      <c r="Z14" s="22">
        <v>3168</v>
      </c>
      <c r="AA14" s="22">
        <v>4123</v>
      </c>
      <c r="AB14" s="22">
        <v>4997</v>
      </c>
      <c r="AC14" s="22">
        <v>4401</v>
      </c>
      <c r="AD14" s="22">
        <v>3749</v>
      </c>
      <c r="AE14" s="22">
        <v>4080</v>
      </c>
      <c r="AF14" s="4"/>
    </row>
    <row r="15" spans="1:45" ht="13.5" customHeight="1" x14ac:dyDescent="0.2">
      <c r="A15" s="2"/>
      <c r="C15" s="1" t="s">
        <v>28</v>
      </c>
      <c r="D15" s="23">
        <v>172</v>
      </c>
      <c r="E15" s="23">
        <v>223</v>
      </c>
      <c r="F15" s="23">
        <v>279</v>
      </c>
      <c r="G15" s="23">
        <v>275</v>
      </c>
      <c r="H15" s="23">
        <v>433</v>
      </c>
      <c r="I15" s="23">
        <v>408</v>
      </c>
      <c r="J15" s="23">
        <v>313</v>
      </c>
      <c r="K15" s="23">
        <v>844</v>
      </c>
      <c r="L15" s="23">
        <v>738</v>
      </c>
      <c r="M15" s="23">
        <v>828</v>
      </c>
      <c r="N15" s="23">
        <v>315</v>
      </c>
      <c r="O15" s="23">
        <v>263</v>
      </c>
      <c r="P15" s="23">
        <v>521</v>
      </c>
      <c r="Q15" s="23">
        <v>600</v>
      </c>
      <c r="R15" s="23">
        <f>468+130</f>
        <v>598</v>
      </c>
      <c r="S15" s="23">
        <f>669+86</f>
        <v>755</v>
      </c>
      <c r="T15" s="23">
        <f>287+33</f>
        <v>320</v>
      </c>
      <c r="U15" s="23">
        <f>898+857</f>
        <v>1755</v>
      </c>
      <c r="V15" s="23">
        <f>881+727</f>
        <v>1608</v>
      </c>
      <c r="W15" s="23">
        <f>630+498</f>
        <v>1128</v>
      </c>
      <c r="X15" s="23">
        <f>306+124</f>
        <v>430</v>
      </c>
      <c r="Y15" s="23">
        <f>1142+243</f>
        <v>1385</v>
      </c>
      <c r="Z15" s="23">
        <v>1511</v>
      </c>
      <c r="AA15" s="23">
        <v>1866</v>
      </c>
      <c r="AB15" s="23">
        <v>1099</v>
      </c>
      <c r="AC15" s="23">
        <v>1684</v>
      </c>
      <c r="AD15" s="23">
        <v>2038</v>
      </c>
      <c r="AE15" s="23">
        <v>2188</v>
      </c>
      <c r="AF15" s="4"/>
    </row>
    <row r="16" spans="1:45" ht="13.5" customHeight="1" x14ac:dyDescent="0.2">
      <c r="A16" s="2"/>
      <c r="D16" s="21">
        <f t="shared" ref="D16:Q16" si="0">SUM(D11:D15)</f>
        <v>7600</v>
      </c>
      <c r="E16" s="21">
        <f t="shared" si="0"/>
        <v>8150</v>
      </c>
      <c r="F16" s="21">
        <f t="shared" si="0"/>
        <v>9462</v>
      </c>
      <c r="G16" s="21">
        <f t="shared" si="0"/>
        <v>10294</v>
      </c>
      <c r="H16" s="21">
        <f t="shared" si="0"/>
        <v>9898</v>
      </c>
      <c r="I16" s="21">
        <f t="shared" si="0"/>
        <v>10084</v>
      </c>
      <c r="J16" s="21">
        <f t="shared" si="0"/>
        <v>11519</v>
      </c>
      <c r="K16" s="21">
        <f t="shared" si="0"/>
        <v>12818</v>
      </c>
      <c r="L16" s="21">
        <f t="shared" si="0"/>
        <v>12429</v>
      </c>
      <c r="M16" s="21">
        <f t="shared" si="0"/>
        <v>12056</v>
      </c>
      <c r="N16" s="21">
        <f t="shared" si="0"/>
        <v>11713</v>
      </c>
      <c r="O16" s="21">
        <f t="shared" si="0"/>
        <v>10907</v>
      </c>
      <c r="P16" s="21">
        <f t="shared" si="0"/>
        <v>12297</v>
      </c>
      <c r="Q16" s="21">
        <f t="shared" si="0"/>
        <v>12995</v>
      </c>
      <c r="R16" s="21">
        <f t="shared" ref="R16:X16" si="1">SUM(R11:R15)</f>
        <v>10050</v>
      </c>
      <c r="S16" s="21">
        <f t="shared" si="1"/>
        <v>12344</v>
      </c>
      <c r="T16" s="21">
        <f t="shared" si="1"/>
        <v>12840</v>
      </c>
      <c r="U16" s="21">
        <f t="shared" si="1"/>
        <v>13156</v>
      </c>
      <c r="V16" s="21">
        <f t="shared" si="1"/>
        <v>14632</v>
      </c>
      <c r="W16" s="21">
        <f t="shared" si="1"/>
        <v>9991</v>
      </c>
      <c r="X16" s="21">
        <f t="shared" si="1"/>
        <v>10876</v>
      </c>
      <c r="Y16" s="21">
        <f t="shared" ref="Y16:Z16" si="2">SUM(Y11:Y15)</f>
        <v>10411</v>
      </c>
      <c r="Z16" s="21">
        <f t="shared" si="2"/>
        <v>10708</v>
      </c>
      <c r="AA16" s="21">
        <f t="shared" ref="AA16" si="3">SUM(AA11:AA15)</f>
        <v>12889</v>
      </c>
      <c r="AB16" s="21">
        <f t="shared" ref="AB16:AC16" si="4">SUM(AB11:AB15)</f>
        <v>12585</v>
      </c>
      <c r="AC16" s="21">
        <f t="shared" si="4"/>
        <v>11484</v>
      </c>
      <c r="AD16" s="21">
        <f t="shared" ref="AD16:AE16" si="5">SUM(AD11:AD15)</f>
        <v>10179</v>
      </c>
      <c r="AE16" s="21">
        <f t="shared" si="5"/>
        <v>10654</v>
      </c>
      <c r="AF16" s="4"/>
    </row>
    <row r="17" spans="1:32" ht="13.5" customHeight="1" x14ac:dyDescent="0.2">
      <c r="A17" s="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4"/>
    </row>
    <row r="18" spans="1:32" ht="13.5" customHeight="1" x14ac:dyDescent="0.2">
      <c r="A18" s="2"/>
      <c r="B18" s="34" t="s">
        <v>29</v>
      </c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4"/>
    </row>
    <row r="19" spans="1:32" ht="13.5" customHeight="1" x14ac:dyDescent="0.2">
      <c r="A19" s="2"/>
      <c r="C19" s="1" t="s">
        <v>24</v>
      </c>
      <c r="D19" s="21"/>
      <c r="E19" s="21"/>
      <c r="F19" s="21"/>
      <c r="G19" s="21">
        <v>67</v>
      </c>
      <c r="H19" s="21">
        <v>81</v>
      </c>
      <c r="I19" s="21">
        <v>104</v>
      </c>
      <c r="J19" s="21">
        <v>432</v>
      </c>
      <c r="K19" s="21">
        <v>142</v>
      </c>
      <c r="L19" s="21">
        <v>54</v>
      </c>
      <c r="M19" s="21">
        <v>1052</v>
      </c>
      <c r="N19" s="21">
        <v>475</v>
      </c>
      <c r="O19" s="21">
        <v>1424</v>
      </c>
      <c r="P19" s="21">
        <v>905</v>
      </c>
      <c r="Q19" s="21">
        <v>1421</v>
      </c>
      <c r="R19" s="21">
        <v>1265</v>
      </c>
      <c r="S19" s="21">
        <v>1943</v>
      </c>
      <c r="T19" s="21">
        <v>1660</v>
      </c>
      <c r="U19" s="21">
        <v>1047</v>
      </c>
      <c r="V19" s="21">
        <v>551</v>
      </c>
      <c r="W19" s="21">
        <v>385</v>
      </c>
      <c r="X19" s="21">
        <v>616</v>
      </c>
      <c r="Y19" s="21">
        <v>530</v>
      </c>
      <c r="Z19" s="21">
        <v>475</v>
      </c>
      <c r="AA19" s="21">
        <v>300</v>
      </c>
      <c r="AB19" s="21">
        <v>306</v>
      </c>
      <c r="AC19" s="21">
        <v>513</v>
      </c>
      <c r="AD19" s="21">
        <v>295</v>
      </c>
      <c r="AE19" s="21">
        <v>312</v>
      </c>
      <c r="AF19" s="4"/>
    </row>
    <row r="20" spans="1:32" ht="13.5" customHeight="1" x14ac:dyDescent="0.2">
      <c r="A20" s="2"/>
      <c r="C20" s="1" t="s">
        <v>25</v>
      </c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>
        <v>0</v>
      </c>
      <c r="S20" s="22">
        <v>0</v>
      </c>
      <c r="T20" s="22">
        <v>0</v>
      </c>
      <c r="U20" s="22">
        <v>0</v>
      </c>
      <c r="V20" s="22">
        <v>0</v>
      </c>
      <c r="W20" s="22">
        <v>27</v>
      </c>
      <c r="X20" s="22">
        <v>0</v>
      </c>
      <c r="Y20" s="22">
        <v>0</v>
      </c>
      <c r="Z20" s="22">
        <v>0</v>
      </c>
      <c r="AA20" s="22">
        <v>0</v>
      </c>
      <c r="AB20" s="22">
        <v>0</v>
      </c>
      <c r="AC20" s="22">
        <v>0</v>
      </c>
      <c r="AD20" s="22">
        <v>28</v>
      </c>
      <c r="AE20" s="22">
        <v>58</v>
      </c>
      <c r="AF20" s="4"/>
    </row>
    <row r="21" spans="1:32" ht="13.5" customHeight="1" x14ac:dyDescent="0.2">
      <c r="A21" s="2"/>
      <c r="C21" s="1" t="s">
        <v>26</v>
      </c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>
        <v>0</v>
      </c>
      <c r="S21" s="22">
        <v>32</v>
      </c>
      <c r="T21" s="22">
        <v>44</v>
      </c>
      <c r="U21" s="22">
        <v>94</v>
      </c>
      <c r="V21" s="22">
        <v>75</v>
      </c>
      <c r="W21" s="22">
        <v>2</v>
      </c>
      <c r="X21" s="22">
        <v>0</v>
      </c>
      <c r="Y21" s="22">
        <v>16</v>
      </c>
      <c r="Z21" s="22">
        <v>21</v>
      </c>
      <c r="AA21" s="22">
        <v>24</v>
      </c>
      <c r="AB21" s="22">
        <v>79</v>
      </c>
      <c r="AC21" s="22">
        <v>1</v>
      </c>
      <c r="AD21" s="22">
        <v>0</v>
      </c>
      <c r="AE21" s="22">
        <v>0</v>
      </c>
      <c r="AF21" s="4"/>
    </row>
    <row r="22" spans="1:32" ht="13.5" customHeight="1" x14ac:dyDescent="0.2">
      <c r="A22" s="2"/>
      <c r="C22" s="1" t="s">
        <v>31</v>
      </c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>
        <v>3160</v>
      </c>
      <c r="S22" s="22">
        <v>4010</v>
      </c>
      <c r="T22" s="22">
        <v>4628</v>
      </c>
      <c r="U22" s="22">
        <v>6424</v>
      </c>
      <c r="V22" s="22">
        <v>3203</v>
      </c>
      <c r="W22" s="22">
        <v>1522</v>
      </c>
      <c r="X22" s="22">
        <v>1025</v>
      </c>
      <c r="Y22" s="22">
        <v>698</v>
      </c>
      <c r="Z22" s="22">
        <v>685</v>
      </c>
      <c r="AA22" s="22">
        <v>677</v>
      </c>
      <c r="AB22" s="22">
        <v>1937</v>
      </c>
      <c r="AC22" s="22">
        <v>1148</v>
      </c>
      <c r="AD22" s="22">
        <v>1357</v>
      </c>
      <c r="AE22" s="22">
        <v>1165</v>
      </c>
      <c r="AF22" s="4"/>
    </row>
    <row r="23" spans="1:32" ht="13.5" customHeight="1" x14ac:dyDescent="0.2">
      <c r="A23" s="2"/>
      <c r="C23" s="1" t="s">
        <v>28</v>
      </c>
      <c r="D23" s="22"/>
      <c r="E23" s="22"/>
      <c r="F23" s="22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>
        <f>151+2</f>
        <v>153</v>
      </c>
      <c r="S23" s="23">
        <f>116+16</f>
        <v>132</v>
      </c>
      <c r="T23" s="23">
        <f>184+0</f>
        <v>184</v>
      </c>
      <c r="U23" s="23">
        <f>8+140</f>
        <v>148</v>
      </c>
      <c r="V23" s="23">
        <f>23+134</f>
        <v>157</v>
      </c>
      <c r="W23" s="23">
        <f>30+104</f>
        <v>134</v>
      </c>
      <c r="X23" s="23">
        <f>166+777</f>
        <v>943</v>
      </c>
      <c r="Y23" s="23">
        <f>138+249</f>
        <v>387</v>
      </c>
      <c r="Z23" s="23">
        <v>377</v>
      </c>
      <c r="AA23" s="23">
        <v>566</v>
      </c>
      <c r="AB23" s="23">
        <v>1504</v>
      </c>
      <c r="AC23" s="23">
        <v>1486</v>
      </c>
      <c r="AD23" s="23">
        <v>1388</v>
      </c>
      <c r="AE23" s="23">
        <v>619</v>
      </c>
      <c r="AF23" s="4"/>
    </row>
    <row r="24" spans="1:32" ht="13.5" customHeight="1" x14ac:dyDescent="0.2">
      <c r="A24" s="2"/>
      <c r="D24" s="21"/>
      <c r="E24" s="21"/>
      <c r="F24" s="21"/>
      <c r="G24" s="21">
        <v>732</v>
      </c>
      <c r="H24" s="21">
        <v>889</v>
      </c>
      <c r="I24" s="21">
        <v>1454</v>
      </c>
      <c r="J24" s="21">
        <v>1253</v>
      </c>
      <c r="K24" s="21">
        <v>3615</v>
      </c>
      <c r="L24" s="21">
        <v>2255</v>
      </c>
      <c r="M24" s="21">
        <v>1966</v>
      </c>
      <c r="N24" s="21">
        <v>1874</v>
      </c>
      <c r="O24" s="21">
        <v>2307</v>
      </c>
      <c r="P24" s="21">
        <v>2077</v>
      </c>
      <c r="Q24" s="21">
        <v>2670</v>
      </c>
      <c r="R24" s="21">
        <f t="shared" ref="R24:X24" si="6">SUM(R19:R23)</f>
        <v>4578</v>
      </c>
      <c r="S24" s="21">
        <f t="shared" si="6"/>
        <v>6117</v>
      </c>
      <c r="T24" s="21">
        <f t="shared" si="6"/>
        <v>6516</v>
      </c>
      <c r="U24" s="21">
        <f t="shared" si="6"/>
        <v>7713</v>
      </c>
      <c r="V24" s="21">
        <f t="shared" si="6"/>
        <v>3986</v>
      </c>
      <c r="W24" s="21">
        <f t="shared" si="6"/>
        <v>2070</v>
      </c>
      <c r="X24" s="21">
        <f t="shared" si="6"/>
        <v>2584</v>
      </c>
      <c r="Y24" s="21">
        <f t="shared" ref="Y24:Z24" si="7">SUM(Y19:Y23)</f>
        <v>1631</v>
      </c>
      <c r="Z24" s="21">
        <f t="shared" si="7"/>
        <v>1558</v>
      </c>
      <c r="AA24" s="21">
        <f t="shared" ref="AA24" si="8">SUM(AA19:AA23)</f>
        <v>1567</v>
      </c>
      <c r="AB24" s="21">
        <f t="shared" ref="AB24:AC24" si="9">SUM(AB19:AB23)</f>
        <v>3826</v>
      </c>
      <c r="AC24" s="21">
        <f t="shared" si="9"/>
        <v>3148</v>
      </c>
      <c r="AD24" s="21">
        <f t="shared" ref="AD24:AE24" si="10">SUM(AD19:AD23)</f>
        <v>3068</v>
      </c>
      <c r="AE24" s="21">
        <f t="shared" si="10"/>
        <v>2154</v>
      </c>
      <c r="AF24" s="4"/>
    </row>
    <row r="25" spans="1:32" ht="13.5" customHeight="1" x14ac:dyDescent="0.2">
      <c r="A25" s="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4"/>
    </row>
    <row r="26" spans="1:32" ht="13.5" customHeight="1" x14ac:dyDescent="0.2">
      <c r="A26" s="2"/>
      <c r="B26" s="34" t="s">
        <v>30</v>
      </c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4"/>
    </row>
    <row r="27" spans="1:32" ht="13.5" customHeight="1" x14ac:dyDescent="0.2">
      <c r="A27" s="2"/>
      <c r="C27" s="1" t="s">
        <v>24</v>
      </c>
      <c r="D27" s="21"/>
      <c r="E27" s="21"/>
      <c r="F27" s="21"/>
      <c r="G27" s="21">
        <f>G11+G19</f>
        <v>4908</v>
      </c>
      <c r="H27" s="21">
        <f>H11+H19</f>
        <v>4604</v>
      </c>
      <c r="I27" s="21">
        <f>I11+I19</f>
        <v>4425</v>
      </c>
      <c r="J27" s="21">
        <f t="shared" ref="J27:V31" si="11">J11+J19</f>
        <v>5187</v>
      </c>
      <c r="K27" s="21">
        <f t="shared" si="11"/>
        <v>5120</v>
      </c>
      <c r="L27" s="21">
        <f t="shared" si="11"/>
        <v>4672</v>
      </c>
      <c r="M27" s="21">
        <f t="shared" si="11"/>
        <v>5522</v>
      </c>
      <c r="N27" s="21">
        <f t="shared" si="11"/>
        <v>5521</v>
      </c>
      <c r="O27" s="21">
        <f t="shared" si="11"/>
        <v>5664</v>
      </c>
      <c r="P27" s="21">
        <f t="shared" si="11"/>
        <v>6329</v>
      </c>
      <c r="Q27" s="21">
        <f t="shared" si="11"/>
        <v>7635</v>
      </c>
      <c r="R27" s="21">
        <f t="shared" si="11"/>
        <v>7151</v>
      </c>
      <c r="S27" s="21">
        <f t="shared" si="11"/>
        <v>10157</v>
      </c>
      <c r="T27" s="21">
        <f t="shared" si="11"/>
        <v>9650</v>
      </c>
      <c r="U27" s="21">
        <f t="shared" si="11"/>
        <v>7868</v>
      </c>
      <c r="V27" s="21">
        <f t="shared" si="11"/>
        <v>5844</v>
      </c>
      <c r="W27" s="21">
        <f t="shared" ref="W27:X27" si="12">W11+W19</f>
        <v>4369</v>
      </c>
      <c r="X27" s="21">
        <f t="shared" si="12"/>
        <v>4959</v>
      </c>
      <c r="Y27" s="21">
        <f t="shared" ref="Y27:Z27" si="13">Y11+Y19</f>
        <v>5240</v>
      </c>
      <c r="Z27" s="21">
        <f t="shared" si="13"/>
        <v>6364</v>
      </c>
      <c r="AA27" s="21">
        <f t="shared" ref="AA27" si="14">AA11+AA19</f>
        <v>7059</v>
      </c>
      <c r="AB27" s="21">
        <f t="shared" ref="AB27:AC27" si="15">AB11+AB19</f>
        <v>6146</v>
      </c>
      <c r="AC27" s="21">
        <f t="shared" si="15"/>
        <v>5812</v>
      </c>
      <c r="AD27" s="21">
        <f t="shared" ref="AD27:AE27" si="16">AD11+AD19</f>
        <v>4573</v>
      </c>
      <c r="AE27" s="21">
        <f t="shared" si="16"/>
        <v>4569</v>
      </c>
      <c r="AF27" s="4"/>
    </row>
    <row r="28" spans="1:32" ht="13.5" customHeight="1" x14ac:dyDescent="0.2">
      <c r="A28" s="2"/>
      <c r="C28" s="1" t="s">
        <v>25</v>
      </c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>
        <f t="shared" si="11"/>
        <v>273</v>
      </c>
      <c r="S28" s="22">
        <f t="shared" si="11"/>
        <v>9</v>
      </c>
      <c r="T28" s="22">
        <f t="shared" si="11"/>
        <v>60</v>
      </c>
      <c r="U28" s="22">
        <f t="shared" si="11"/>
        <v>29</v>
      </c>
      <c r="V28" s="22">
        <f t="shared" si="11"/>
        <v>135</v>
      </c>
      <c r="W28" s="22">
        <f t="shared" ref="W28:X28" si="17">W12+W20</f>
        <v>206</v>
      </c>
      <c r="X28" s="22">
        <f t="shared" si="17"/>
        <v>150</v>
      </c>
      <c r="Y28" s="22">
        <f t="shared" ref="Y28:Z28" si="18">Y12+Y20</f>
        <v>139</v>
      </c>
      <c r="Z28" s="22">
        <f t="shared" si="18"/>
        <v>112</v>
      </c>
      <c r="AA28" s="22">
        <f t="shared" ref="AA28" si="19">AA12+AA20</f>
        <v>98</v>
      </c>
      <c r="AB28" s="22">
        <f t="shared" ref="AB28:AC28" si="20">AB12+AB20</f>
        <v>40</v>
      </c>
      <c r="AC28" s="22">
        <f t="shared" si="20"/>
        <v>5</v>
      </c>
      <c r="AD28" s="22">
        <f t="shared" ref="AD28:AE28" si="21">AD12+AD20</f>
        <v>61</v>
      </c>
      <c r="AE28" s="22">
        <f t="shared" si="21"/>
        <v>82</v>
      </c>
      <c r="AF28" s="4"/>
    </row>
    <row r="29" spans="1:32" ht="13.5" customHeight="1" x14ac:dyDescent="0.2">
      <c r="A29" s="2"/>
      <c r="C29" s="1" t="s">
        <v>26</v>
      </c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>
        <f t="shared" si="11"/>
        <v>36</v>
      </c>
      <c r="S29" s="22">
        <f t="shared" si="11"/>
        <v>109</v>
      </c>
      <c r="T29" s="22">
        <f t="shared" si="11"/>
        <v>333</v>
      </c>
      <c r="U29" s="22">
        <f t="shared" si="11"/>
        <v>502</v>
      </c>
      <c r="V29" s="22">
        <f t="shared" si="11"/>
        <v>196</v>
      </c>
      <c r="W29" s="22">
        <f t="shared" ref="W29:AB29" si="22">W13+W21</f>
        <v>164</v>
      </c>
      <c r="X29" s="22">
        <f t="shared" si="22"/>
        <v>130</v>
      </c>
      <c r="Y29" s="22">
        <f t="shared" si="22"/>
        <v>128</v>
      </c>
      <c r="Z29" s="22">
        <f t="shared" si="22"/>
        <v>49</v>
      </c>
      <c r="AA29" s="22">
        <f t="shared" si="22"/>
        <v>67</v>
      </c>
      <c r="AB29" s="22">
        <f t="shared" si="22"/>
        <v>688</v>
      </c>
      <c r="AC29" s="22">
        <f t="shared" ref="AC29:AD29" si="23">AC13+AC21</f>
        <v>96</v>
      </c>
      <c r="AD29" s="22">
        <f t="shared" si="23"/>
        <v>81</v>
      </c>
      <c r="AE29" s="22">
        <f t="shared" ref="AE29" si="24">AE13+AE21</f>
        <v>105</v>
      </c>
      <c r="AF29" s="4"/>
    </row>
    <row r="30" spans="1:32" ht="13.5" customHeight="1" x14ac:dyDescent="0.2">
      <c r="A30" s="2"/>
      <c r="C30" s="1" t="s">
        <v>31</v>
      </c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>
        <f t="shared" si="11"/>
        <v>6417</v>
      </c>
      <c r="S30" s="22">
        <f t="shared" si="11"/>
        <v>7299</v>
      </c>
      <c r="T30" s="22">
        <f t="shared" si="11"/>
        <v>8809</v>
      </c>
      <c r="U30" s="22">
        <f t="shared" si="11"/>
        <v>10567</v>
      </c>
      <c r="V30" s="22">
        <f t="shared" si="11"/>
        <v>10678</v>
      </c>
      <c r="W30" s="22">
        <f t="shared" ref="W30:X30" si="25">W14+W22</f>
        <v>6060</v>
      </c>
      <c r="X30" s="22">
        <f t="shared" si="25"/>
        <v>6848</v>
      </c>
      <c r="Y30" s="22">
        <f t="shared" ref="Y30:Z30" si="26">Y14+Y22</f>
        <v>4763</v>
      </c>
      <c r="Z30" s="22">
        <f t="shared" si="26"/>
        <v>3853</v>
      </c>
      <c r="AA30" s="22">
        <f t="shared" ref="AA30" si="27">AA14+AA22</f>
        <v>4800</v>
      </c>
      <c r="AB30" s="22">
        <f t="shared" ref="AB30:AC30" si="28">AB14+AB22</f>
        <v>6934</v>
      </c>
      <c r="AC30" s="22">
        <f t="shared" si="28"/>
        <v>5549</v>
      </c>
      <c r="AD30" s="22">
        <f t="shared" ref="AD30:AE30" si="29">AD14+AD22</f>
        <v>5106</v>
      </c>
      <c r="AE30" s="22">
        <f t="shared" si="29"/>
        <v>5245</v>
      </c>
      <c r="AF30" s="4"/>
    </row>
    <row r="31" spans="1:32" ht="13.5" customHeight="1" x14ac:dyDescent="0.2">
      <c r="A31" s="2"/>
      <c r="C31" s="1" t="s">
        <v>28</v>
      </c>
      <c r="D31" s="22"/>
      <c r="E31" s="22"/>
      <c r="F31" s="22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>
        <f t="shared" si="11"/>
        <v>751</v>
      </c>
      <c r="S31" s="23">
        <f t="shared" si="11"/>
        <v>887</v>
      </c>
      <c r="T31" s="23">
        <f t="shared" si="11"/>
        <v>504</v>
      </c>
      <c r="U31" s="23">
        <f t="shared" si="11"/>
        <v>1903</v>
      </c>
      <c r="V31" s="23">
        <f t="shared" si="11"/>
        <v>1765</v>
      </c>
      <c r="W31" s="23">
        <f t="shared" ref="W31:X31" si="30">W15+W23</f>
        <v>1262</v>
      </c>
      <c r="X31" s="23">
        <f t="shared" si="30"/>
        <v>1373</v>
      </c>
      <c r="Y31" s="23">
        <f t="shared" ref="Y31:Z31" si="31">Y15+Y23</f>
        <v>1772</v>
      </c>
      <c r="Z31" s="23">
        <f t="shared" si="31"/>
        <v>1888</v>
      </c>
      <c r="AA31" s="23">
        <f t="shared" ref="AA31" si="32">AA15+AA23</f>
        <v>2432</v>
      </c>
      <c r="AB31" s="23">
        <f t="shared" ref="AB31:AC31" si="33">AB15+AB23</f>
        <v>2603</v>
      </c>
      <c r="AC31" s="23">
        <f t="shared" si="33"/>
        <v>3170</v>
      </c>
      <c r="AD31" s="23">
        <f t="shared" ref="AD31:AE31" si="34">AD15+AD23</f>
        <v>3426</v>
      </c>
      <c r="AE31" s="23">
        <f t="shared" si="34"/>
        <v>2807</v>
      </c>
      <c r="AF31" s="4"/>
    </row>
    <row r="32" spans="1:32" ht="13.5" customHeight="1" x14ac:dyDescent="0.2">
      <c r="A32" s="2"/>
      <c r="D32" s="21"/>
      <c r="E32" s="21"/>
      <c r="F32" s="21"/>
      <c r="G32" s="21">
        <f>G16+G24</f>
        <v>11026</v>
      </c>
      <c r="H32" s="21">
        <f>H16+H24</f>
        <v>10787</v>
      </c>
      <c r="I32" s="21">
        <f>I16+I24</f>
        <v>11538</v>
      </c>
      <c r="J32" s="21">
        <f t="shared" ref="J32:O32" si="35">J16+J24</f>
        <v>12772</v>
      </c>
      <c r="K32" s="21">
        <f t="shared" si="35"/>
        <v>16433</v>
      </c>
      <c r="L32" s="21">
        <f t="shared" si="35"/>
        <v>14684</v>
      </c>
      <c r="M32" s="21">
        <f t="shared" si="35"/>
        <v>14022</v>
      </c>
      <c r="N32" s="21">
        <f t="shared" si="35"/>
        <v>13587</v>
      </c>
      <c r="O32" s="21">
        <f t="shared" si="35"/>
        <v>13214</v>
      </c>
      <c r="P32" s="21">
        <f>P16+P24</f>
        <v>14374</v>
      </c>
      <c r="Q32" s="21">
        <f>Q16+Q24</f>
        <v>15665</v>
      </c>
      <c r="R32" s="21">
        <f t="shared" ref="R32:X32" si="36">SUM(R27:R31)</f>
        <v>14628</v>
      </c>
      <c r="S32" s="21">
        <f t="shared" si="36"/>
        <v>18461</v>
      </c>
      <c r="T32" s="21">
        <f t="shared" si="36"/>
        <v>19356</v>
      </c>
      <c r="U32" s="21">
        <f t="shared" si="36"/>
        <v>20869</v>
      </c>
      <c r="V32" s="21">
        <f t="shared" si="36"/>
        <v>18618</v>
      </c>
      <c r="W32" s="21">
        <f t="shared" si="36"/>
        <v>12061</v>
      </c>
      <c r="X32" s="21">
        <f t="shared" si="36"/>
        <v>13460</v>
      </c>
      <c r="Y32" s="21">
        <f t="shared" ref="Y32:Z32" si="37">SUM(Y27:Y31)</f>
        <v>12042</v>
      </c>
      <c r="Z32" s="21">
        <f t="shared" si="37"/>
        <v>12266</v>
      </c>
      <c r="AA32" s="21">
        <f t="shared" ref="AA32" si="38">SUM(AA27:AA31)</f>
        <v>14456</v>
      </c>
      <c r="AB32" s="21">
        <f t="shared" ref="AB32:AC32" si="39">SUM(AB27:AB31)</f>
        <v>16411</v>
      </c>
      <c r="AC32" s="21">
        <f t="shared" si="39"/>
        <v>14632</v>
      </c>
      <c r="AD32" s="21">
        <f t="shared" ref="AD32:AE32" si="40">SUM(AD27:AD31)</f>
        <v>13247</v>
      </c>
      <c r="AE32" s="21">
        <f t="shared" si="40"/>
        <v>12808</v>
      </c>
      <c r="AF32" s="4"/>
    </row>
    <row r="33" spans="1:32" ht="13.5" customHeight="1" x14ac:dyDescent="0.2">
      <c r="A33" s="2"/>
      <c r="B33" s="24"/>
      <c r="C33" s="24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3"/>
      <c r="AC33" s="23"/>
      <c r="AD33" s="23"/>
      <c r="AE33" s="23"/>
      <c r="AF33" s="4"/>
    </row>
    <row r="34" spans="1:32" ht="13.5" customHeight="1" x14ac:dyDescent="0.2">
      <c r="A34" s="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4"/>
    </row>
    <row r="35" spans="1:32" ht="13.5" customHeight="1" x14ac:dyDescent="0.2">
      <c r="A35" s="2"/>
      <c r="B35" s="1" t="s">
        <v>41</v>
      </c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25"/>
      <c r="AD35" s="25"/>
      <c r="AE35" s="25"/>
      <c r="AF35" s="4"/>
    </row>
    <row r="36" spans="1:32" ht="13.5" customHeight="1" x14ac:dyDescent="0.2">
      <c r="A36" s="2"/>
      <c r="B36" s="1" t="s">
        <v>42</v>
      </c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4"/>
    </row>
    <row r="37" spans="1:32" ht="13.5" customHeight="1" x14ac:dyDescent="0.2">
      <c r="A37" s="2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4"/>
    </row>
    <row r="38" spans="1:32" ht="13.5" customHeight="1" x14ac:dyDescent="0.2">
      <c r="A38" s="2"/>
      <c r="B38" s="1" t="s">
        <v>33</v>
      </c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4"/>
    </row>
    <row r="39" spans="1:32" ht="13.5" customHeight="1" x14ac:dyDescent="0.2">
      <c r="A39" s="2"/>
      <c r="B39" s="1" t="s">
        <v>34</v>
      </c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4"/>
    </row>
    <row r="40" spans="1:32" ht="13.5" customHeight="1" x14ac:dyDescent="0.2">
      <c r="A40" s="2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4"/>
    </row>
    <row r="41" spans="1:32" ht="13.5" customHeight="1" x14ac:dyDescent="0.2">
      <c r="A41" s="2"/>
      <c r="B41" s="1" t="s">
        <v>35</v>
      </c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4"/>
    </row>
    <row r="42" spans="1:32" ht="13.5" customHeight="1" x14ac:dyDescent="0.2">
      <c r="A42" s="2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4"/>
    </row>
    <row r="43" spans="1:32" ht="13.5" customHeight="1" x14ac:dyDescent="0.2">
      <c r="A43" s="27"/>
      <c r="B43" s="24" t="s">
        <v>36</v>
      </c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8"/>
      <c r="W43" s="28"/>
      <c r="X43" s="28"/>
      <c r="Y43" s="28"/>
      <c r="Z43" s="28"/>
      <c r="AA43" s="28"/>
      <c r="AB43" s="28"/>
      <c r="AC43" s="28"/>
      <c r="AD43" s="28"/>
      <c r="AE43" s="28" t="s">
        <v>52</v>
      </c>
      <c r="AF43" s="29"/>
    </row>
  </sheetData>
  <mergeCells count="2">
    <mergeCell ref="A2:AF2"/>
    <mergeCell ref="D7:AE7"/>
  </mergeCells>
  <printOptions horizontalCentered="1"/>
  <pageMargins left="0.7" right="0.45" top="0.5" bottom="0.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W43"/>
  <sheetViews>
    <sheetView workbookViewId="0"/>
  </sheetViews>
  <sheetFormatPr defaultColWidth="9.140625" defaultRowHeight="12.75" x14ac:dyDescent="0.2"/>
  <cols>
    <col min="1" max="2" width="2.7109375" style="1" customWidth="1"/>
    <col min="3" max="3" width="19.7109375" style="1" bestFit="1" customWidth="1"/>
    <col min="4" max="9" width="10.7109375" style="1" customWidth="1"/>
    <col min="10" max="10" width="2.7109375" style="1" customWidth="1"/>
    <col min="11" max="16384" width="9.140625" style="1"/>
  </cols>
  <sheetData>
    <row r="2" spans="1:23" ht="15" customHeight="1" x14ac:dyDescent="0.25">
      <c r="A2" s="39" t="s">
        <v>0</v>
      </c>
      <c r="B2" s="40"/>
      <c r="C2" s="40"/>
      <c r="D2" s="40"/>
      <c r="E2" s="40"/>
      <c r="F2" s="40"/>
      <c r="G2" s="40"/>
      <c r="H2" s="40"/>
      <c r="I2" s="40"/>
      <c r="J2" s="41"/>
    </row>
    <row r="3" spans="1:23" ht="13.5" customHeight="1" x14ac:dyDescent="0.2">
      <c r="A3" s="2"/>
      <c r="B3" s="3"/>
      <c r="C3" s="3"/>
      <c r="D3" s="3"/>
      <c r="E3" s="3"/>
      <c r="F3" s="3"/>
      <c r="G3" s="3"/>
      <c r="H3" s="3"/>
      <c r="I3" s="3"/>
      <c r="J3" s="4"/>
    </row>
    <row r="4" spans="1:23" ht="15" customHeight="1" x14ac:dyDescent="0.2">
      <c r="A4" s="2"/>
      <c r="B4" s="5" t="s">
        <v>1</v>
      </c>
      <c r="C4" s="6"/>
      <c r="D4" s="7"/>
      <c r="E4" s="7"/>
      <c r="F4" s="7"/>
      <c r="G4" s="7"/>
      <c r="H4" s="7"/>
      <c r="I4" s="7"/>
      <c r="J4" s="8"/>
    </row>
    <row r="5" spans="1:23" ht="15" customHeight="1" x14ac:dyDescent="0.25">
      <c r="A5" s="2"/>
      <c r="B5" s="38" t="s">
        <v>43</v>
      </c>
      <c r="C5" s="10"/>
      <c r="D5" s="7"/>
      <c r="E5" s="7"/>
      <c r="F5" s="7"/>
      <c r="G5" s="7"/>
      <c r="H5" s="7"/>
      <c r="I5" s="7"/>
      <c r="J5" s="8"/>
    </row>
    <row r="6" spans="1:23" ht="13.5" customHeight="1" x14ac:dyDescent="0.2">
      <c r="A6" s="2"/>
      <c r="B6" s="11"/>
      <c r="C6" s="11"/>
      <c r="D6" s="12"/>
      <c r="E6" s="12"/>
      <c r="F6" s="12"/>
      <c r="G6" s="12"/>
      <c r="H6" s="12"/>
      <c r="I6" s="12"/>
      <c r="J6" s="8"/>
    </row>
    <row r="7" spans="1:23" ht="13.5" customHeight="1" thickBot="1" x14ac:dyDescent="0.25">
      <c r="A7" s="2"/>
      <c r="B7" s="13"/>
      <c r="C7" s="13"/>
      <c r="D7" s="42" t="s">
        <v>3</v>
      </c>
      <c r="E7" s="42"/>
      <c r="F7" s="42"/>
      <c r="G7" s="42"/>
      <c r="H7" s="42"/>
      <c r="I7" s="42"/>
      <c r="J7" s="4"/>
    </row>
    <row r="8" spans="1:23" ht="13.5" customHeight="1" thickTop="1" x14ac:dyDescent="0.2">
      <c r="A8" s="2"/>
      <c r="B8" s="14"/>
      <c r="C8" s="14"/>
      <c r="D8" s="15" t="s">
        <v>4</v>
      </c>
      <c r="E8" s="15" t="s">
        <v>5</v>
      </c>
      <c r="F8" s="15" t="s">
        <v>6</v>
      </c>
      <c r="G8" s="15" t="s">
        <v>7</v>
      </c>
      <c r="H8" s="15" t="s">
        <v>8</v>
      </c>
      <c r="I8" s="15" t="s">
        <v>9</v>
      </c>
      <c r="J8" s="4"/>
    </row>
    <row r="9" spans="1:23" ht="13.5" customHeight="1" x14ac:dyDescent="0.2">
      <c r="A9" s="2"/>
      <c r="D9" s="16"/>
      <c r="E9" s="16"/>
      <c r="F9" s="16"/>
      <c r="G9" s="16"/>
      <c r="H9" s="16"/>
      <c r="I9" s="16"/>
      <c r="J9" s="4"/>
    </row>
    <row r="10" spans="1:23" ht="13.5" customHeight="1" x14ac:dyDescent="0.2">
      <c r="A10" s="2"/>
      <c r="B10" s="6" t="s">
        <v>23</v>
      </c>
      <c r="C10" s="10"/>
      <c r="D10" s="10"/>
      <c r="E10" s="10"/>
      <c r="F10" s="10"/>
      <c r="G10" s="10"/>
      <c r="H10" s="10"/>
      <c r="I10" s="10"/>
      <c r="J10" s="19"/>
      <c r="K10" s="10"/>
      <c r="L10" s="10"/>
      <c r="M10" s="10"/>
      <c r="N10" s="10"/>
      <c r="O10" s="20"/>
      <c r="P10" s="20"/>
      <c r="Q10" s="20"/>
      <c r="R10" s="20"/>
      <c r="S10" s="20"/>
      <c r="T10" s="20"/>
      <c r="U10" s="20"/>
      <c r="V10" s="20"/>
      <c r="W10" s="20"/>
    </row>
    <row r="11" spans="1:23" ht="13.5" customHeight="1" x14ac:dyDescent="0.2">
      <c r="A11" s="2"/>
      <c r="C11" s="1" t="s">
        <v>24</v>
      </c>
      <c r="D11" s="21">
        <v>0</v>
      </c>
      <c r="E11" s="21">
        <v>0</v>
      </c>
      <c r="F11" s="21">
        <v>0</v>
      </c>
      <c r="G11" s="21">
        <v>0</v>
      </c>
      <c r="H11" s="21">
        <v>0</v>
      </c>
      <c r="I11" s="21">
        <v>0</v>
      </c>
      <c r="J11" s="4"/>
    </row>
    <row r="12" spans="1:23" ht="13.5" customHeight="1" x14ac:dyDescent="0.2">
      <c r="A12" s="2"/>
      <c r="C12" s="1" t="s">
        <v>25</v>
      </c>
      <c r="D12" s="22">
        <v>135</v>
      </c>
      <c r="E12" s="22">
        <v>144</v>
      </c>
      <c r="F12" s="22">
        <v>171</v>
      </c>
      <c r="G12" s="22">
        <v>201</v>
      </c>
      <c r="H12" s="22">
        <v>137</v>
      </c>
      <c r="I12" s="22">
        <v>0</v>
      </c>
      <c r="J12" s="4"/>
    </row>
    <row r="13" spans="1:23" ht="13.5" customHeight="1" x14ac:dyDescent="0.2">
      <c r="A13" s="2"/>
      <c r="C13" s="1" t="s">
        <v>26</v>
      </c>
      <c r="D13" s="22">
        <v>0</v>
      </c>
      <c r="E13" s="22">
        <v>0</v>
      </c>
      <c r="F13" s="22">
        <v>0</v>
      </c>
      <c r="G13" s="22">
        <v>0</v>
      </c>
      <c r="H13" s="22">
        <v>0</v>
      </c>
      <c r="I13" s="22">
        <v>0</v>
      </c>
      <c r="J13" s="4"/>
    </row>
    <row r="14" spans="1:23" ht="13.5" customHeight="1" x14ac:dyDescent="0.2">
      <c r="A14" s="2"/>
      <c r="C14" s="1" t="s">
        <v>27</v>
      </c>
      <c r="D14" s="22">
        <v>61</v>
      </c>
      <c r="E14" s="22">
        <v>65</v>
      </c>
      <c r="F14" s="22">
        <v>99</v>
      </c>
      <c r="G14" s="22">
        <v>90</v>
      </c>
      <c r="H14" s="22">
        <v>82</v>
      </c>
      <c r="I14" s="22">
        <v>0</v>
      </c>
      <c r="J14" s="4"/>
    </row>
    <row r="15" spans="1:23" ht="13.5" customHeight="1" x14ac:dyDescent="0.2">
      <c r="A15" s="2"/>
      <c r="C15" s="1" t="s">
        <v>28</v>
      </c>
      <c r="D15" s="23">
        <v>0</v>
      </c>
      <c r="E15" s="23">
        <v>0</v>
      </c>
      <c r="F15" s="23">
        <v>0</v>
      </c>
      <c r="G15" s="23">
        <v>0</v>
      </c>
      <c r="H15" s="23">
        <v>0</v>
      </c>
      <c r="I15" s="23">
        <v>0</v>
      </c>
      <c r="J15" s="4"/>
    </row>
    <row r="16" spans="1:23" ht="13.5" customHeight="1" x14ac:dyDescent="0.2">
      <c r="A16" s="2"/>
      <c r="D16" s="21">
        <f t="shared" ref="D16:I16" si="0">SUM(D11:D15)</f>
        <v>196</v>
      </c>
      <c r="E16" s="21">
        <f t="shared" si="0"/>
        <v>209</v>
      </c>
      <c r="F16" s="21">
        <f t="shared" si="0"/>
        <v>270</v>
      </c>
      <c r="G16" s="21">
        <f t="shared" si="0"/>
        <v>291</v>
      </c>
      <c r="H16" s="21">
        <f t="shared" si="0"/>
        <v>219</v>
      </c>
      <c r="I16" s="21">
        <f t="shared" si="0"/>
        <v>0</v>
      </c>
      <c r="J16" s="4"/>
    </row>
    <row r="17" spans="1:10" ht="13.5" customHeight="1" x14ac:dyDescent="0.2">
      <c r="A17" s="2"/>
      <c r="D17" s="22"/>
      <c r="E17" s="22"/>
      <c r="F17" s="22"/>
      <c r="G17" s="22"/>
      <c r="H17" s="22"/>
      <c r="I17" s="22"/>
      <c r="J17" s="4"/>
    </row>
    <row r="18" spans="1:10" ht="13.5" customHeight="1" x14ac:dyDescent="0.2">
      <c r="A18" s="2"/>
      <c r="B18" s="6" t="s">
        <v>29</v>
      </c>
      <c r="C18" s="10"/>
      <c r="D18" s="10"/>
      <c r="E18" s="10"/>
      <c r="F18" s="10"/>
      <c r="G18" s="10"/>
      <c r="H18" s="10"/>
      <c r="I18" s="10"/>
      <c r="J18" s="4"/>
    </row>
    <row r="19" spans="1:10" ht="13.5" customHeight="1" x14ac:dyDescent="0.2">
      <c r="A19" s="2"/>
      <c r="C19" s="1" t="s">
        <v>24</v>
      </c>
      <c r="D19" s="21"/>
      <c r="E19" s="21"/>
      <c r="F19" s="21"/>
      <c r="G19" s="21">
        <v>0</v>
      </c>
      <c r="H19" s="21">
        <v>14</v>
      </c>
      <c r="I19" s="21">
        <v>0</v>
      </c>
      <c r="J19" s="4"/>
    </row>
    <row r="20" spans="1:10" ht="13.5" customHeight="1" x14ac:dyDescent="0.2">
      <c r="A20" s="2"/>
      <c r="C20" s="1" t="s">
        <v>25</v>
      </c>
      <c r="D20" s="22"/>
      <c r="E20" s="22"/>
      <c r="F20" s="22"/>
      <c r="G20" s="22"/>
      <c r="H20" s="22"/>
      <c r="I20" s="22"/>
      <c r="J20" s="4"/>
    </row>
    <row r="21" spans="1:10" ht="13.5" customHeight="1" x14ac:dyDescent="0.2">
      <c r="A21" s="2"/>
      <c r="C21" s="1" t="s">
        <v>26</v>
      </c>
      <c r="D21" s="22"/>
      <c r="E21" s="22"/>
      <c r="F21" s="22"/>
      <c r="G21" s="22"/>
      <c r="H21" s="22"/>
      <c r="I21" s="22"/>
      <c r="J21" s="4"/>
    </row>
    <row r="22" spans="1:10" ht="13.5" customHeight="1" x14ac:dyDescent="0.2">
      <c r="A22" s="2"/>
      <c r="C22" s="1" t="s">
        <v>27</v>
      </c>
      <c r="D22" s="22"/>
      <c r="E22" s="22"/>
      <c r="F22" s="22"/>
      <c r="G22" s="22"/>
      <c r="H22" s="22"/>
      <c r="I22" s="22"/>
      <c r="J22" s="4"/>
    </row>
    <row r="23" spans="1:10" ht="13.5" customHeight="1" x14ac:dyDescent="0.2">
      <c r="A23" s="2"/>
      <c r="C23" s="1" t="s">
        <v>28</v>
      </c>
      <c r="D23" s="22"/>
      <c r="E23" s="22"/>
      <c r="F23" s="22"/>
      <c r="G23" s="23"/>
      <c r="H23" s="23"/>
      <c r="I23" s="23"/>
      <c r="J23" s="4"/>
    </row>
    <row r="24" spans="1:10" ht="13.5" customHeight="1" x14ac:dyDescent="0.2">
      <c r="A24" s="2"/>
      <c r="D24" s="21"/>
      <c r="E24" s="21"/>
      <c r="F24" s="21"/>
      <c r="G24" s="21">
        <v>0</v>
      </c>
      <c r="H24" s="21">
        <v>14</v>
      </c>
      <c r="I24" s="21">
        <v>0</v>
      </c>
      <c r="J24" s="4"/>
    </row>
    <row r="25" spans="1:10" ht="13.5" customHeight="1" x14ac:dyDescent="0.2">
      <c r="A25" s="2"/>
      <c r="D25" s="22"/>
      <c r="E25" s="22"/>
      <c r="F25" s="22"/>
      <c r="G25" s="22"/>
      <c r="H25" s="22"/>
      <c r="I25" s="22"/>
      <c r="J25" s="4"/>
    </row>
    <row r="26" spans="1:10" ht="13.5" customHeight="1" x14ac:dyDescent="0.2">
      <c r="A26" s="2"/>
      <c r="B26" s="6" t="s">
        <v>30</v>
      </c>
      <c r="C26" s="10"/>
      <c r="D26" s="10"/>
      <c r="E26" s="10"/>
      <c r="F26" s="10"/>
      <c r="G26" s="10"/>
      <c r="H26" s="10"/>
      <c r="I26" s="10"/>
      <c r="J26" s="4"/>
    </row>
    <row r="27" spans="1:10" ht="13.5" customHeight="1" x14ac:dyDescent="0.2">
      <c r="A27" s="2"/>
      <c r="C27" s="1" t="s">
        <v>24</v>
      </c>
      <c r="D27" s="21"/>
      <c r="E27" s="21"/>
      <c r="F27" s="21"/>
      <c r="G27" s="21">
        <f>G11+G19</f>
        <v>0</v>
      </c>
      <c r="H27" s="21">
        <f>H11+H19</f>
        <v>14</v>
      </c>
      <c r="I27" s="21">
        <f>I11+I19</f>
        <v>0</v>
      </c>
      <c r="J27" s="4"/>
    </row>
    <row r="28" spans="1:10" ht="13.5" customHeight="1" x14ac:dyDescent="0.2">
      <c r="A28" s="2"/>
      <c r="C28" s="1" t="s">
        <v>25</v>
      </c>
      <c r="D28" s="22"/>
      <c r="E28" s="22"/>
      <c r="F28" s="22"/>
      <c r="G28" s="22"/>
      <c r="H28" s="22"/>
      <c r="I28" s="22"/>
      <c r="J28" s="4"/>
    </row>
    <row r="29" spans="1:10" ht="13.5" customHeight="1" x14ac:dyDescent="0.2">
      <c r="A29" s="2"/>
      <c r="C29" s="1" t="s">
        <v>26</v>
      </c>
      <c r="D29" s="22"/>
      <c r="E29" s="22"/>
      <c r="F29" s="22"/>
      <c r="G29" s="22"/>
      <c r="H29" s="22"/>
      <c r="I29" s="22"/>
      <c r="J29" s="4"/>
    </row>
    <row r="30" spans="1:10" ht="13.5" customHeight="1" x14ac:dyDescent="0.2">
      <c r="A30" s="2"/>
      <c r="C30" s="1" t="s">
        <v>31</v>
      </c>
      <c r="D30" s="22"/>
      <c r="E30" s="22"/>
      <c r="F30" s="22"/>
      <c r="G30" s="22"/>
      <c r="H30" s="22"/>
      <c r="I30" s="22"/>
      <c r="J30" s="4"/>
    </row>
    <row r="31" spans="1:10" ht="13.5" customHeight="1" x14ac:dyDescent="0.2">
      <c r="A31" s="2"/>
      <c r="C31" s="1" t="s">
        <v>28</v>
      </c>
      <c r="D31" s="22"/>
      <c r="E31" s="22"/>
      <c r="F31" s="22"/>
      <c r="G31" s="23"/>
      <c r="H31" s="23"/>
      <c r="I31" s="23"/>
      <c r="J31" s="4"/>
    </row>
    <row r="32" spans="1:10" ht="13.5" customHeight="1" x14ac:dyDescent="0.2">
      <c r="A32" s="2"/>
      <c r="D32" s="21"/>
      <c r="E32" s="21"/>
      <c r="F32" s="21"/>
      <c r="G32" s="21">
        <f>G16+G24</f>
        <v>291</v>
      </c>
      <c r="H32" s="21">
        <f>H16+H24</f>
        <v>233</v>
      </c>
      <c r="I32" s="21">
        <f>I16+I24</f>
        <v>0</v>
      </c>
      <c r="J32" s="4"/>
    </row>
    <row r="33" spans="1:10" ht="13.5" customHeight="1" x14ac:dyDescent="0.2">
      <c r="A33" s="2"/>
      <c r="B33" s="24"/>
      <c r="C33" s="24"/>
      <c r="D33" s="23"/>
      <c r="E33" s="23"/>
      <c r="F33" s="23"/>
      <c r="G33" s="23"/>
      <c r="H33" s="23"/>
      <c r="I33" s="23"/>
      <c r="J33" s="4"/>
    </row>
    <row r="34" spans="1:10" ht="13.5" customHeight="1" x14ac:dyDescent="0.2">
      <c r="A34" s="2"/>
      <c r="D34" s="22"/>
      <c r="E34" s="22"/>
      <c r="F34" s="22"/>
      <c r="G34" s="22"/>
      <c r="H34" s="22"/>
      <c r="I34" s="22"/>
      <c r="J34" s="4"/>
    </row>
    <row r="35" spans="1:10" ht="13.5" customHeight="1" x14ac:dyDescent="0.2">
      <c r="A35" s="2"/>
      <c r="B35" s="1" t="s">
        <v>41</v>
      </c>
      <c r="C35" s="25"/>
      <c r="D35" s="25"/>
      <c r="E35" s="25"/>
      <c r="F35" s="25"/>
      <c r="G35" s="25"/>
      <c r="H35" s="25"/>
      <c r="I35" s="25"/>
      <c r="J35" s="4"/>
    </row>
    <row r="36" spans="1:10" ht="13.5" customHeight="1" x14ac:dyDescent="0.2">
      <c r="A36" s="2"/>
      <c r="B36" s="1" t="s">
        <v>42</v>
      </c>
      <c r="C36" s="25"/>
      <c r="D36" s="25"/>
      <c r="E36" s="25"/>
      <c r="F36" s="25"/>
      <c r="G36" s="25"/>
      <c r="H36" s="25"/>
      <c r="I36" s="25"/>
      <c r="J36" s="4"/>
    </row>
    <row r="37" spans="1:10" ht="13.5" customHeight="1" x14ac:dyDescent="0.2">
      <c r="A37" s="2"/>
      <c r="C37" s="25"/>
      <c r="D37" s="25"/>
      <c r="E37" s="25"/>
      <c r="F37" s="25"/>
      <c r="G37" s="25"/>
      <c r="H37" s="25"/>
      <c r="I37" s="25"/>
      <c r="J37" s="4"/>
    </row>
    <row r="38" spans="1:10" ht="13.5" customHeight="1" x14ac:dyDescent="0.2">
      <c r="A38" s="2"/>
      <c r="B38" s="1" t="s">
        <v>33</v>
      </c>
      <c r="C38" s="25"/>
      <c r="D38" s="25"/>
      <c r="E38" s="25"/>
      <c r="F38" s="25"/>
      <c r="G38" s="25"/>
      <c r="H38" s="25"/>
      <c r="I38" s="25"/>
      <c r="J38" s="4"/>
    </row>
    <row r="39" spans="1:10" ht="13.5" customHeight="1" x14ac:dyDescent="0.2">
      <c r="A39" s="2"/>
      <c r="B39" s="1" t="s">
        <v>34</v>
      </c>
      <c r="C39" s="25"/>
      <c r="D39" s="25"/>
      <c r="E39" s="25"/>
      <c r="F39" s="25"/>
      <c r="G39" s="25"/>
      <c r="H39" s="25"/>
      <c r="I39" s="25"/>
      <c r="J39" s="4"/>
    </row>
    <row r="40" spans="1:10" ht="13.5" customHeight="1" x14ac:dyDescent="0.2">
      <c r="A40" s="2"/>
      <c r="C40" s="26"/>
      <c r="D40" s="26"/>
      <c r="E40" s="26"/>
      <c r="F40" s="26"/>
      <c r="G40" s="26"/>
      <c r="H40" s="26"/>
      <c r="I40" s="26"/>
      <c r="J40" s="4"/>
    </row>
    <row r="41" spans="1:10" ht="13.5" customHeight="1" x14ac:dyDescent="0.2">
      <c r="A41" s="2"/>
      <c r="B41" s="1" t="s">
        <v>35</v>
      </c>
      <c r="C41" s="26"/>
      <c r="D41" s="26"/>
      <c r="E41" s="26"/>
      <c r="F41" s="26"/>
      <c r="G41" s="26"/>
      <c r="H41" s="26"/>
      <c r="I41" s="26"/>
      <c r="J41" s="4"/>
    </row>
    <row r="42" spans="1:10" ht="13.5" customHeight="1" x14ac:dyDescent="0.2">
      <c r="A42" s="2"/>
      <c r="C42" s="26"/>
      <c r="D42" s="26"/>
      <c r="E42" s="26"/>
      <c r="F42" s="26"/>
      <c r="G42" s="26"/>
      <c r="H42" s="26"/>
      <c r="I42" s="26"/>
      <c r="J42" s="4"/>
    </row>
    <row r="43" spans="1:10" ht="13.5" customHeight="1" x14ac:dyDescent="0.2">
      <c r="A43" s="27"/>
      <c r="B43" s="24" t="s">
        <v>36</v>
      </c>
      <c r="C43" s="24"/>
      <c r="D43" s="24"/>
      <c r="E43" s="24"/>
      <c r="F43" s="24"/>
      <c r="G43" s="24"/>
      <c r="H43" s="24"/>
      <c r="I43" s="24"/>
      <c r="J43" s="29"/>
    </row>
  </sheetData>
  <mergeCells count="2">
    <mergeCell ref="A2:J2"/>
    <mergeCell ref="D7:I7"/>
  </mergeCells>
  <printOptions horizontalCentered="1"/>
  <pageMargins left="0.7" right="0.45" top="0.5" bottom="0.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UM System</vt:lpstr>
      <vt:lpstr>MU</vt:lpstr>
      <vt:lpstr>UMKC</vt:lpstr>
      <vt:lpstr>S&amp;T</vt:lpstr>
      <vt:lpstr>UMSL</vt:lpstr>
      <vt:lpstr>UMSa</vt:lpstr>
    </vt:vector>
  </TitlesOfParts>
  <Company>University of Missouri-Columbia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Sade, Randy</dc:creator>
  <cp:lastModifiedBy>Sade, Randy J.</cp:lastModifiedBy>
  <cp:lastPrinted>2024-03-01T21:31:15Z</cp:lastPrinted>
  <dcterms:created xsi:type="dcterms:W3CDTF">2015-03-03T15:20:56Z</dcterms:created>
  <dcterms:modified xsi:type="dcterms:W3CDTF">2024-03-11T14:19:09Z</dcterms:modified>
</cp:coreProperties>
</file>