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68AE00C7-DA54-46D4-83A8-B918DAF44AE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Urban 23-24" sheetId="20" r:id="rId1"/>
    <sheet name="Urban 22-23" sheetId="19" r:id="rId2"/>
    <sheet name="Urban 21-22" sheetId="18" r:id="rId3"/>
    <sheet name="Urban 20-21" sheetId="17" r:id="rId4"/>
    <sheet name="Urban 19-20" sheetId="16" r:id="rId5"/>
    <sheet name="Urban 18-19" sheetId="15" r:id="rId6"/>
    <sheet name="Urban 17-18" sheetId="14" r:id="rId7"/>
    <sheet name="Urban 16-17" sheetId="13" r:id="rId8"/>
    <sheet name="Urban 15-16" sheetId="12" r:id="rId9"/>
    <sheet name="Urban 14-15" sheetId="11" r:id="rId10"/>
    <sheet name="Urban 13-14" sheetId="1" r:id="rId11"/>
    <sheet name="Urban 12-13" sheetId="5" r:id="rId12"/>
    <sheet name="Urban 11-12" sheetId="6" r:id="rId13"/>
    <sheet name="Urban 10-11" sheetId="7" r:id="rId14"/>
    <sheet name="Urban 09-10" sheetId="8" r:id="rId15"/>
    <sheet name="Urban 08-09" sheetId="9" r:id="rId16"/>
    <sheet name="Urban 07-08" sheetId="10" r:id="rId17"/>
  </sheets>
  <definedNames>
    <definedName name="_xlnm.Print_Area" localSheetId="16">'Urban 07-08'!$A$1:$K$40</definedName>
    <definedName name="_xlnm.Print_Area" localSheetId="15">'Urban 08-09'!$A$1:$K$40</definedName>
    <definedName name="_xlnm.Print_Area" localSheetId="14">'Urban 09-10'!$A$1:$K$40</definedName>
    <definedName name="_xlnm.Print_Area" localSheetId="13">'Urban 10-11'!$A$1:$K$40</definedName>
    <definedName name="_xlnm.Print_Area" localSheetId="12">'Urban 11-12'!$A$1:$K$40</definedName>
    <definedName name="_xlnm.Print_Area" localSheetId="11">'Urban 12-13'!$A$1:$K$40</definedName>
    <definedName name="_xlnm.Print_Area" localSheetId="10">'Urban 13-14'!$A$1:$K$40</definedName>
    <definedName name="_xlnm.Print_Area" localSheetId="9">'Urban 14-15'!$A$1:$K$40</definedName>
    <definedName name="_xlnm.Print_Area" localSheetId="8">'Urban 15-16'!$A$1:$K$43</definedName>
    <definedName name="_xlnm.Print_Area" localSheetId="7">'Urban 16-17'!$A$1:$K$40</definedName>
    <definedName name="_xlnm.Print_Area" localSheetId="6">'Urban 17-18'!$A$1:$K$40</definedName>
    <definedName name="_xlnm.Print_Area" localSheetId="5">'Urban 18-19'!$A$1:$K$40</definedName>
    <definedName name="_xlnm.Print_Area" localSheetId="4">'Urban 19-20'!$A$1:$K$40</definedName>
    <definedName name="_xlnm.Print_Area" localSheetId="3">'Urban 20-21'!$A$1:$K$40</definedName>
    <definedName name="_xlnm.Print_Area" localSheetId="2">'Urban 21-22'!$A$1:$K$40</definedName>
    <definedName name="_xlnm.Print_Area" localSheetId="1">'Urban 22-23'!$A$1:$K$40</definedName>
    <definedName name="_xlnm.Print_Area" localSheetId="0">'Urban 23-24'!$A$1:$K$40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20" l="1"/>
  <c r="N30" i="20"/>
  <c r="M30" i="20"/>
  <c r="O28" i="20"/>
  <c r="N28" i="20"/>
  <c r="M28" i="20"/>
  <c r="O27" i="20"/>
  <c r="N27" i="20"/>
  <c r="M27" i="20"/>
  <c r="O24" i="20" l="1"/>
  <c r="N24" i="20"/>
  <c r="M24" i="20"/>
  <c r="O23" i="20"/>
  <c r="N23" i="20"/>
  <c r="M23" i="20"/>
  <c r="O31" i="20"/>
  <c r="N31" i="20"/>
  <c r="M31" i="20"/>
  <c r="O25" i="20"/>
  <c r="N25" i="20"/>
  <c r="M25" i="20"/>
  <c r="O32" i="20"/>
  <c r="N32" i="20"/>
  <c r="M32" i="20"/>
  <c r="O18" i="20"/>
  <c r="N18" i="20"/>
  <c r="M18" i="20"/>
  <c r="O29" i="20"/>
  <c r="N29" i="20"/>
  <c r="M29" i="20"/>
  <c r="O14" i="20"/>
  <c r="N14" i="20"/>
  <c r="M14" i="20"/>
  <c r="O13" i="20"/>
  <c r="N13" i="20"/>
  <c r="M13" i="20"/>
  <c r="O15" i="20"/>
  <c r="N15" i="20"/>
  <c r="M15" i="20"/>
  <c r="O20" i="20"/>
  <c r="N20" i="20"/>
  <c r="M20" i="20"/>
  <c r="O19" i="20"/>
  <c r="N19" i="20"/>
  <c r="M19" i="20"/>
  <c r="O16" i="20"/>
  <c r="N16" i="20"/>
  <c r="M16" i="20"/>
  <c r="O12" i="20"/>
  <c r="N12" i="20"/>
  <c r="M12" i="20"/>
  <c r="O26" i="20" l="1"/>
  <c r="N26" i="20"/>
  <c r="M26" i="20"/>
  <c r="G35" i="20"/>
  <c r="F35" i="20"/>
  <c r="E35" i="20"/>
  <c r="R32" i="20"/>
  <c r="Q32" i="20"/>
  <c r="P32" i="20"/>
  <c r="S32" i="20"/>
  <c r="R31" i="20"/>
  <c r="Q31" i="20"/>
  <c r="S31" i="20"/>
  <c r="R30" i="20"/>
  <c r="Q30" i="20"/>
  <c r="S30" i="20"/>
  <c r="P29" i="20"/>
  <c r="R29" i="20"/>
  <c r="S29" i="20"/>
  <c r="R28" i="20"/>
  <c r="Q28" i="20"/>
  <c r="S28" i="20"/>
  <c r="S27" i="20"/>
  <c r="R27" i="20"/>
  <c r="Q27" i="20"/>
  <c r="P27" i="20"/>
  <c r="R26" i="20"/>
  <c r="Q26" i="20"/>
  <c r="S26" i="20"/>
  <c r="S25" i="20"/>
  <c r="R25" i="20"/>
  <c r="Q25" i="20"/>
  <c r="P25" i="20"/>
  <c r="R24" i="20"/>
  <c r="Q24" i="20"/>
  <c r="S24" i="20"/>
  <c r="S23" i="20"/>
  <c r="Q23" i="20"/>
  <c r="P23" i="20"/>
  <c r="R23" i="20"/>
  <c r="R22" i="20"/>
  <c r="Q22" i="20"/>
  <c r="P22" i="20"/>
  <c r="R21" i="20"/>
  <c r="Q21" i="20"/>
  <c r="S21" i="20"/>
  <c r="R20" i="20"/>
  <c r="Q20" i="20"/>
  <c r="S20" i="20"/>
  <c r="R19" i="20"/>
  <c r="Q19" i="20"/>
  <c r="S19" i="20"/>
  <c r="Q18" i="20"/>
  <c r="P18" i="20"/>
  <c r="R18" i="20"/>
  <c r="S17" i="20"/>
  <c r="R17" i="20"/>
  <c r="Q17" i="20"/>
  <c r="P17" i="20"/>
  <c r="T17" i="20" s="1"/>
  <c r="U17" i="20" s="1"/>
  <c r="R16" i="20"/>
  <c r="Q16" i="20"/>
  <c r="P16" i="20"/>
  <c r="R15" i="20"/>
  <c r="Q15" i="20"/>
  <c r="S15" i="20"/>
  <c r="P14" i="20"/>
  <c r="O34" i="20"/>
  <c r="N34" i="20"/>
  <c r="R13" i="20"/>
  <c r="Q13" i="20"/>
  <c r="S13" i="20"/>
  <c r="S12" i="20"/>
  <c r="R12" i="20"/>
  <c r="Q12" i="20"/>
  <c r="P12" i="20"/>
  <c r="O32" i="19"/>
  <c r="N32" i="19"/>
  <c r="M32" i="19"/>
  <c r="O30" i="19"/>
  <c r="N30" i="19"/>
  <c r="M30" i="19"/>
  <c r="O18" i="19"/>
  <c r="N18" i="19"/>
  <c r="M18" i="19"/>
  <c r="N22" i="19"/>
  <c r="O22" i="19"/>
  <c r="M22" i="19"/>
  <c r="O28" i="19"/>
  <c r="N28" i="19"/>
  <c r="M28" i="19"/>
  <c r="O26" i="19"/>
  <c r="N26" i="19"/>
  <c r="M26" i="19"/>
  <c r="O27" i="19"/>
  <c r="N27" i="19"/>
  <c r="M27" i="19"/>
  <c r="M31" i="19"/>
  <c r="O31" i="19"/>
  <c r="N31" i="19"/>
  <c r="O25" i="19"/>
  <c r="N25" i="19"/>
  <c r="M25" i="19"/>
  <c r="O21" i="19"/>
  <c r="N21" i="19"/>
  <c r="M21" i="19"/>
  <c r="O20" i="19"/>
  <c r="N20" i="19"/>
  <c r="M20" i="19"/>
  <c r="O19" i="19"/>
  <c r="N19" i="19"/>
  <c r="M19" i="19"/>
  <c r="O16" i="19"/>
  <c r="N16" i="19"/>
  <c r="M16" i="19"/>
  <c r="O15" i="19"/>
  <c r="N15" i="19"/>
  <c r="M15" i="19"/>
  <c r="O29" i="19"/>
  <c r="N29" i="19"/>
  <c r="M29" i="19"/>
  <c r="O13" i="19"/>
  <c r="N13" i="19"/>
  <c r="M13" i="19"/>
  <c r="O14" i="19"/>
  <c r="N14" i="19"/>
  <c r="M14" i="19"/>
  <c r="T27" i="20" l="1"/>
  <c r="T23" i="20"/>
  <c r="U23" i="20" s="1"/>
  <c r="I23" i="20" s="1"/>
  <c r="J23" i="20" s="1"/>
  <c r="T32" i="20"/>
  <c r="T16" i="20"/>
  <c r="T12" i="20"/>
  <c r="U12" i="20" s="1"/>
  <c r="I12" i="20" s="1"/>
  <c r="J12" i="20" s="1"/>
  <c r="U27" i="20"/>
  <c r="I27" i="20" s="1"/>
  <c r="J27" i="20" s="1"/>
  <c r="T22" i="20"/>
  <c r="U32" i="20"/>
  <c r="I32" i="20" s="1"/>
  <c r="J32" i="20" s="1"/>
  <c r="T25" i="20"/>
  <c r="U25" i="20" s="1"/>
  <c r="I25" i="20" s="1"/>
  <c r="J25" i="20" s="1"/>
  <c r="T18" i="20"/>
  <c r="P20" i="20"/>
  <c r="T20" i="20" s="1"/>
  <c r="U20" i="20" s="1"/>
  <c r="I20" i="20" s="1"/>
  <c r="J20" i="20" s="1"/>
  <c r="Q29" i="20"/>
  <c r="T29" i="20" s="1"/>
  <c r="U29" i="20" s="1"/>
  <c r="I29" i="20" s="1"/>
  <c r="J29" i="20" s="1"/>
  <c r="P31" i="20"/>
  <c r="T31" i="20" s="1"/>
  <c r="U31" i="20" s="1"/>
  <c r="I31" i="20" s="1"/>
  <c r="J31" i="20" s="1"/>
  <c r="M34" i="20"/>
  <c r="S34" i="20" s="1"/>
  <c r="P24" i="20"/>
  <c r="T24" i="20" s="1"/>
  <c r="U24" i="20" s="1"/>
  <c r="I24" i="20" s="1"/>
  <c r="J24" i="20" s="1"/>
  <c r="P26" i="20"/>
  <c r="T26" i="20" s="1"/>
  <c r="U26" i="20" s="1"/>
  <c r="I26" i="20" s="1"/>
  <c r="J26" i="20" s="1"/>
  <c r="P13" i="20"/>
  <c r="T13" i="20" s="1"/>
  <c r="U13" i="20" s="1"/>
  <c r="I13" i="20" s="1"/>
  <c r="J13" i="20" s="1"/>
  <c r="P19" i="20"/>
  <c r="T19" i="20" s="1"/>
  <c r="U19" i="20" s="1"/>
  <c r="I19" i="20" s="1"/>
  <c r="J19" i="20" s="1"/>
  <c r="P15" i="20"/>
  <c r="T15" i="20" s="1"/>
  <c r="U15" i="20" s="1"/>
  <c r="I15" i="20" s="1"/>
  <c r="J15" i="20" s="1"/>
  <c r="P30" i="20"/>
  <c r="T30" i="20" s="1"/>
  <c r="U30" i="20" s="1"/>
  <c r="I30" i="20" s="1"/>
  <c r="J30" i="20" s="1"/>
  <c r="Q14" i="20"/>
  <c r="S18" i="20"/>
  <c r="S14" i="20"/>
  <c r="S22" i="20"/>
  <c r="U22" i="20" s="1"/>
  <c r="P28" i="20"/>
  <c r="T28" i="20" s="1"/>
  <c r="U28" i="20" s="1"/>
  <c r="I28" i="20" s="1"/>
  <c r="J28" i="20" s="1"/>
  <c r="P21" i="20"/>
  <c r="T21" i="20" s="1"/>
  <c r="U21" i="20" s="1"/>
  <c r="S16" i="20"/>
  <c r="R14" i="20"/>
  <c r="R34" i="20" s="1"/>
  <c r="G34" i="20" s="1"/>
  <c r="O24" i="19"/>
  <c r="N24" i="19"/>
  <c r="M24" i="19"/>
  <c r="O23" i="19"/>
  <c r="N23" i="19"/>
  <c r="M23" i="19"/>
  <c r="O12" i="19"/>
  <c r="N12" i="19"/>
  <c r="M12" i="19"/>
  <c r="G35" i="19"/>
  <c r="F35" i="19"/>
  <c r="E35" i="19"/>
  <c r="R32" i="19"/>
  <c r="Q32" i="19"/>
  <c r="S32" i="19"/>
  <c r="R31" i="19"/>
  <c r="Q31" i="19"/>
  <c r="P31" i="19"/>
  <c r="T31" i="19" s="1"/>
  <c r="R30" i="19"/>
  <c r="Q30" i="19"/>
  <c r="P30" i="19"/>
  <c r="P29" i="19"/>
  <c r="R29" i="19"/>
  <c r="Q29" i="19"/>
  <c r="R28" i="19"/>
  <c r="Q28" i="19"/>
  <c r="P28" i="19"/>
  <c r="S27" i="19"/>
  <c r="R27" i="19"/>
  <c r="Q27" i="19"/>
  <c r="P27" i="19"/>
  <c r="T27" i="19" s="1"/>
  <c r="R26" i="19"/>
  <c r="Q26" i="19"/>
  <c r="P26" i="19"/>
  <c r="T26" i="19" s="1"/>
  <c r="S25" i="19"/>
  <c r="R25" i="19"/>
  <c r="Q25" i="19"/>
  <c r="P25" i="19"/>
  <c r="T25" i="19" s="1"/>
  <c r="R24" i="19"/>
  <c r="Q24" i="19"/>
  <c r="S24" i="19"/>
  <c r="R23" i="19"/>
  <c r="Q23" i="19"/>
  <c r="S23" i="19"/>
  <c r="R22" i="19"/>
  <c r="Q22" i="19"/>
  <c r="S22" i="19"/>
  <c r="R21" i="19"/>
  <c r="Q21" i="19"/>
  <c r="S21" i="19"/>
  <c r="R20" i="19"/>
  <c r="Q20" i="19"/>
  <c r="P20" i="19"/>
  <c r="T20" i="19" s="1"/>
  <c r="R19" i="19"/>
  <c r="Q19" i="19"/>
  <c r="S19" i="19"/>
  <c r="Q18" i="19"/>
  <c r="P18" i="19"/>
  <c r="S18" i="19"/>
  <c r="S17" i="19"/>
  <c r="R17" i="19"/>
  <c r="Q17" i="19"/>
  <c r="P17" i="19"/>
  <c r="R16" i="19"/>
  <c r="Q16" i="19"/>
  <c r="S16" i="19"/>
  <c r="R15" i="19"/>
  <c r="Q15" i="19"/>
  <c r="P15" i="19"/>
  <c r="P14" i="19"/>
  <c r="O34" i="19"/>
  <c r="N34" i="19"/>
  <c r="R13" i="19"/>
  <c r="Q13" i="19"/>
  <c r="P13" i="19"/>
  <c r="S12" i="19"/>
  <c r="R12" i="19"/>
  <c r="Q12" i="19"/>
  <c r="P12" i="19"/>
  <c r="O32" i="18"/>
  <c r="N32" i="18"/>
  <c r="M32" i="18"/>
  <c r="O30" i="18"/>
  <c r="N30" i="18"/>
  <c r="M30" i="18"/>
  <c r="O18" i="18"/>
  <c r="N18" i="18"/>
  <c r="M18" i="18"/>
  <c r="O27" i="18"/>
  <c r="N27" i="18"/>
  <c r="M27" i="18"/>
  <c r="O22" i="18"/>
  <c r="N22" i="18"/>
  <c r="M22" i="18"/>
  <c r="O28" i="18"/>
  <c r="N28" i="18"/>
  <c r="M28" i="18"/>
  <c r="Q34" i="20" l="1"/>
  <c r="F34" i="20" s="1"/>
  <c r="U16" i="20"/>
  <c r="I16" i="20" s="1"/>
  <c r="J16" i="20" s="1"/>
  <c r="U18" i="20"/>
  <c r="I18" i="20" s="1"/>
  <c r="J18" i="20" s="1"/>
  <c r="T14" i="20"/>
  <c r="U14" i="20" s="1"/>
  <c r="I14" i="20" s="1"/>
  <c r="J14" i="20" s="1"/>
  <c r="P34" i="20"/>
  <c r="U25" i="19"/>
  <c r="I25" i="19" s="1"/>
  <c r="J25" i="19" s="1"/>
  <c r="T13" i="19"/>
  <c r="T30" i="19"/>
  <c r="U27" i="19"/>
  <c r="I27" i="19" s="1"/>
  <c r="J27" i="19" s="1"/>
  <c r="T15" i="19"/>
  <c r="T17" i="19"/>
  <c r="U17" i="19" s="1"/>
  <c r="T28" i="19"/>
  <c r="T29" i="19"/>
  <c r="U26" i="19"/>
  <c r="I26" i="19" s="1"/>
  <c r="J26" i="19" s="1"/>
  <c r="U15" i="19"/>
  <c r="I15" i="19" s="1"/>
  <c r="J15" i="19" s="1"/>
  <c r="Q14" i="19"/>
  <c r="T12" i="19"/>
  <c r="U12" i="19" s="1"/>
  <c r="I12" i="19" s="1"/>
  <c r="J12" i="19" s="1"/>
  <c r="S14" i="19"/>
  <c r="S20" i="19"/>
  <c r="U20" i="19" s="1"/>
  <c r="I20" i="19" s="1"/>
  <c r="J20" i="19" s="1"/>
  <c r="M34" i="19"/>
  <c r="S34" i="19" s="1"/>
  <c r="P19" i="19"/>
  <c r="T19" i="19" s="1"/>
  <c r="U19" i="19" s="1"/>
  <c r="I19" i="19" s="1"/>
  <c r="J19" i="19" s="1"/>
  <c r="S13" i="19"/>
  <c r="P21" i="19"/>
  <c r="T21" i="19" s="1"/>
  <c r="U21" i="19" s="1"/>
  <c r="I21" i="19" s="1"/>
  <c r="J21" i="19" s="1"/>
  <c r="S28" i="19"/>
  <c r="U28" i="19" s="1"/>
  <c r="I28" i="19" s="1"/>
  <c r="J28" i="19" s="1"/>
  <c r="P16" i="19"/>
  <c r="T16" i="19" s="1"/>
  <c r="U16" i="19" s="1"/>
  <c r="I16" i="19" s="1"/>
  <c r="J16" i="19" s="1"/>
  <c r="P22" i="19"/>
  <c r="T22" i="19" s="1"/>
  <c r="U22" i="19" s="1"/>
  <c r="I22" i="19" s="1"/>
  <c r="J22" i="19" s="1"/>
  <c r="P24" i="19"/>
  <c r="T24" i="19" s="1"/>
  <c r="U24" i="19" s="1"/>
  <c r="I24" i="19" s="1"/>
  <c r="J24" i="19" s="1"/>
  <c r="S26" i="19"/>
  <c r="S15" i="19"/>
  <c r="P23" i="19"/>
  <c r="T23" i="19" s="1"/>
  <c r="U23" i="19" s="1"/>
  <c r="I23" i="19" s="1"/>
  <c r="J23" i="19" s="1"/>
  <c r="S30" i="19"/>
  <c r="U30" i="19" s="1"/>
  <c r="I30" i="19" s="1"/>
  <c r="J30" i="19" s="1"/>
  <c r="R18" i="19"/>
  <c r="T18" i="19" s="1"/>
  <c r="U18" i="19" s="1"/>
  <c r="I18" i="19" s="1"/>
  <c r="J18" i="19" s="1"/>
  <c r="R14" i="19"/>
  <c r="R34" i="19" s="1"/>
  <c r="G34" i="19" s="1"/>
  <c r="S29" i="19"/>
  <c r="S31" i="19"/>
  <c r="U31" i="19" s="1"/>
  <c r="I31" i="19" s="1"/>
  <c r="J31" i="19" s="1"/>
  <c r="P32" i="19"/>
  <c r="T32" i="19" s="1"/>
  <c r="U32" i="19" s="1"/>
  <c r="I32" i="19" s="1"/>
  <c r="J32" i="19" s="1"/>
  <c r="O26" i="18"/>
  <c r="N26" i="18"/>
  <c r="M26" i="18"/>
  <c r="O29" i="18"/>
  <c r="N29" i="18"/>
  <c r="M29" i="18"/>
  <c r="O13" i="18"/>
  <c r="N13" i="18"/>
  <c r="M13" i="18"/>
  <c r="O14" i="18"/>
  <c r="N14" i="18"/>
  <c r="M14" i="18"/>
  <c r="O15" i="18"/>
  <c r="N15" i="18"/>
  <c r="M15" i="18"/>
  <c r="E34" i="20" l="1"/>
  <c r="T34" i="20"/>
  <c r="U34" i="20" s="1"/>
  <c r="I34" i="20" s="1"/>
  <c r="J34" i="20" s="1"/>
  <c r="I35" i="20"/>
  <c r="J35" i="20" s="1"/>
  <c r="U13" i="19"/>
  <c r="I13" i="19" s="1"/>
  <c r="J13" i="19" s="1"/>
  <c r="T14" i="19"/>
  <c r="U14" i="19"/>
  <c r="I14" i="19" s="1"/>
  <c r="J14" i="19" s="1"/>
  <c r="P34" i="19"/>
  <c r="Q34" i="19"/>
  <c r="F34" i="19" s="1"/>
  <c r="U29" i="19"/>
  <c r="I29" i="19" s="1"/>
  <c r="J29" i="19" s="1"/>
  <c r="O24" i="18"/>
  <c r="N24" i="18"/>
  <c r="Q24" i="18" s="1"/>
  <c r="M24" i="18"/>
  <c r="P24" i="18" s="1"/>
  <c r="O23" i="18"/>
  <c r="R23" i="18" s="1"/>
  <c r="N23" i="18"/>
  <c r="Q23" i="18" s="1"/>
  <c r="M23" i="18"/>
  <c r="R24" i="18"/>
  <c r="P23" i="18"/>
  <c r="O31" i="18"/>
  <c r="R31" i="18" s="1"/>
  <c r="N31" i="18"/>
  <c r="M31" i="18"/>
  <c r="P31" i="18" s="1"/>
  <c r="O21" i="18"/>
  <c r="R21" i="18" s="1"/>
  <c r="N21" i="18"/>
  <c r="Q21" i="18" s="1"/>
  <c r="M21" i="18"/>
  <c r="P21" i="18" s="1"/>
  <c r="O25" i="18"/>
  <c r="R25" i="18" s="1"/>
  <c r="N25" i="18"/>
  <c r="Q25" i="18" s="1"/>
  <c r="M25" i="18"/>
  <c r="P25" i="18" s="1"/>
  <c r="O20" i="18"/>
  <c r="R20" i="18" s="1"/>
  <c r="N20" i="18"/>
  <c r="Q20" i="18" s="1"/>
  <c r="M20" i="18"/>
  <c r="P20" i="18" s="1"/>
  <c r="O19" i="18"/>
  <c r="R19" i="18" s="1"/>
  <c r="N19" i="18"/>
  <c r="Q19" i="18" s="1"/>
  <c r="M19" i="18"/>
  <c r="P19" i="18" s="1"/>
  <c r="O16" i="18"/>
  <c r="R16" i="18" s="1"/>
  <c r="N16" i="18"/>
  <c r="M16" i="18"/>
  <c r="O12" i="18"/>
  <c r="N12" i="18"/>
  <c r="Q12" i="18" s="1"/>
  <c r="M12" i="18"/>
  <c r="P12" i="18"/>
  <c r="S14" i="18"/>
  <c r="S18" i="18"/>
  <c r="R22" i="18"/>
  <c r="Q26" i="18"/>
  <c r="S27" i="18"/>
  <c r="Q27" i="18"/>
  <c r="S28" i="18"/>
  <c r="P29" i="18"/>
  <c r="Q29" i="18"/>
  <c r="R29" i="18"/>
  <c r="R32" i="18"/>
  <c r="G35" i="18"/>
  <c r="F35" i="18"/>
  <c r="E35" i="18"/>
  <c r="Q32" i="18"/>
  <c r="P32" i="18"/>
  <c r="Q31" i="18"/>
  <c r="Q30" i="18"/>
  <c r="P30" i="18"/>
  <c r="R30" i="18"/>
  <c r="S30" i="18"/>
  <c r="R28" i="18"/>
  <c r="Q28" i="18"/>
  <c r="R27" i="18"/>
  <c r="P27" i="18"/>
  <c r="R26" i="18"/>
  <c r="P26" i="18"/>
  <c r="Q22" i="18"/>
  <c r="P22" i="18"/>
  <c r="Q18" i="18"/>
  <c r="P18" i="18"/>
  <c r="S17" i="18"/>
  <c r="R17" i="18"/>
  <c r="Q17" i="18"/>
  <c r="P17" i="18"/>
  <c r="P16" i="18"/>
  <c r="R15" i="18"/>
  <c r="Q15" i="18"/>
  <c r="P15" i="18"/>
  <c r="R14" i="18"/>
  <c r="R13" i="18"/>
  <c r="Q13" i="18"/>
  <c r="P13" i="18"/>
  <c r="R12" i="18"/>
  <c r="O31" i="17"/>
  <c r="N31" i="17"/>
  <c r="M31" i="17"/>
  <c r="E35" i="17"/>
  <c r="O32" i="17"/>
  <c r="N32" i="17"/>
  <c r="M32" i="17"/>
  <c r="I35" i="19" l="1"/>
  <c r="J35" i="19" s="1"/>
  <c r="T34" i="19"/>
  <c r="U34" i="19" s="1"/>
  <c r="I34" i="19" s="1"/>
  <c r="J34" i="19" s="1"/>
  <c r="E34" i="19"/>
  <c r="S23" i="18"/>
  <c r="S24" i="18"/>
  <c r="S25" i="18"/>
  <c r="M34" i="18"/>
  <c r="O34" i="18"/>
  <c r="S16" i="18"/>
  <c r="Q16" i="18"/>
  <c r="T16" i="18"/>
  <c r="T17" i="18"/>
  <c r="U17" i="18" s="1"/>
  <c r="P14" i="18"/>
  <c r="N34" i="18"/>
  <c r="S19" i="18"/>
  <c r="S31" i="18"/>
  <c r="S29" i="18"/>
  <c r="T29" i="18"/>
  <c r="T20" i="18"/>
  <c r="T27" i="18"/>
  <c r="U27" i="18" s="1"/>
  <c r="I27" i="18" s="1"/>
  <c r="T13" i="18"/>
  <c r="T19" i="18"/>
  <c r="T22" i="18"/>
  <c r="T26" i="18"/>
  <c r="T31" i="18"/>
  <c r="T21" i="18"/>
  <c r="T25" i="18"/>
  <c r="T32" i="18"/>
  <c r="T30" i="18"/>
  <c r="U30" i="18" s="1"/>
  <c r="I30" i="18" s="1"/>
  <c r="T12" i="18"/>
  <c r="T15" i="18"/>
  <c r="T23" i="18"/>
  <c r="U23" i="18" s="1"/>
  <c r="I23" i="18" s="1"/>
  <c r="T24" i="18"/>
  <c r="S15" i="18"/>
  <c r="S22" i="18"/>
  <c r="S12" i="18"/>
  <c r="R18" i="18"/>
  <c r="T18" i="18" s="1"/>
  <c r="U18" i="18" s="1"/>
  <c r="I18" i="18" s="1"/>
  <c r="P28" i="18"/>
  <c r="T28" i="18" s="1"/>
  <c r="U28" i="18" s="1"/>
  <c r="I28" i="18" s="1"/>
  <c r="S21" i="18"/>
  <c r="S13" i="18"/>
  <c r="S20" i="18"/>
  <c r="S26" i="18"/>
  <c r="S32" i="18"/>
  <c r="Q14" i="18"/>
  <c r="O30" i="17"/>
  <c r="N30" i="17"/>
  <c r="M30" i="17"/>
  <c r="O18" i="17"/>
  <c r="N18" i="17"/>
  <c r="M18" i="17"/>
  <c r="O22" i="17"/>
  <c r="N22" i="17"/>
  <c r="M22" i="17"/>
  <c r="O28" i="17"/>
  <c r="N28" i="17"/>
  <c r="M28" i="17"/>
  <c r="O26" i="17"/>
  <c r="N26" i="17"/>
  <c r="M26" i="17"/>
  <c r="U22" i="18" l="1"/>
  <c r="I22" i="18" s="1"/>
  <c r="U29" i="18"/>
  <c r="I29" i="18" s="1"/>
  <c r="U24" i="18"/>
  <c r="I24" i="18" s="1"/>
  <c r="U31" i="18"/>
  <c r="I31" i="18" s="1"/>
  <c r="U25" i="18"/>
  <c r="I25" i="18" s="1"/>
  <c r="S34" i="18"/>
  <c r="U16" i="18"/>
  <c r="I16" i="18" s="1"/>
  <c r="Q34" i="18"/>
  <c r="F34" i="18" s="1"/>
  <c r="U32" i="18"/>
  <c r="I32" i="18" s="1"/>
  <c r="U15" i="18"/>
  <c r="I15" i="18" s="1"/>
  <c r="U13" i="18"/>
  <c r="I13" i="18" s="1"/>
  <c r="U19" i="18"/>
  <c r="I19" i="18" s="1"/>
  <c r="U20" i="18"/>
  <c r="I20" i="18" s="1"/>
  <c r="U21" i="18"/>
  <c r="I21" i="18" s="1"/>
  <c r="U26" i="18"/>
  <c r="I26" i="18" s="1"/>
  <c r="R34" i="18"/>
  <c r="G34" i="18" s="1"/>
  <c r="U12" i="18"/>
  <c r="I12" i="18" s="1"/>
  <c r="P34" i="18"/>
  <c r="T14" i="18"/>
  <c r="U14" i="18" s="1"/>
  <c r="I14" i="18" s="1"/>
  <c r="O25" i="17"/>
  <c r="N25" i="17"/>
  <c r="M25" i="17"/>
  <c r="O29" i="17"/>
  <c r="N29" i="17"/>
  <c r="M29" i="17"/>
  <c r="O13" i="17"/>
  <c r="N13" i="17"/>
  <c r="M13" i="17"/>
  <c r="O14" i="17"/>
  <c r="N14" i="17"/>
  <c r="M14" i="17"/>
  <c r="O15" i="17"/>
  <c r="N15" i="17"/>
  <c r="M15" i="17"/>
  <c r="O27" i="17"/>
  <c r="N27" i="17"/>
  <c r="M27" i="17"/>
  <c r="I35" i="18" l="1"/>
  <c r="T34" i="18"/>
  <c r="U34" i="18" s="1"/>
  <c r="I34" i="18" s="1"/>
  <c r="E34" i="18"/>
  <c r="O24" i="17"/>
  <c r="R24" i="17" s="1"/>
  <c r="N24" i="17"/>
  <c r="Q24" i="17" s="1"/>
  <c r="M24" i="17"/>
  <c r="O23" i="17"/>
  <c r="N23" i="17"/>
  <c r="M23" i="17"/>
  <c r="O21" i="17"/>
  <c r="R21" i="17" s="1"/>
  <c r="N21" i="17"/>
  <c r="Q21" i="17" s="1"/>
  <c r="M21" i="17"/>
  <c r="O20" i="17"/>
  <c r="N20" i="17"/>
  <c r="M20" i="17"/>
  <c r="O19" i="17"/>
  <c r="R19" i="17" s="1"/>
  <c r="N19" i="17"/>
  <c r="Q19" i="17" s="1"/>
  <c r="M19" i="17"/>
  <c r="O16" i="17"/>
  <c r="R16" i="17" s="1"/>
  <c r="N16" i="17"/>
  <c r="Q16" i="17" s="1"/>
  <c r="M16" i="17"/>
  <c r="O12" i="17"/>
  <c r="R12" i="17" s="1"/>
  <c r="N12" i="17"/>
  <c r="M12" i="17"/>
  <c r="P12" i="17" s="1"/>
  <c r="G35" i="17"/>
  <c r="F35" i="17"/>
  <c r="R32" i="17"/>
  <c r="Q32" i="17"/>
  <c r="P32" i="17"/>
  <c r="R31" i="17"/>
  <c r="Q31" i="17"/>
  <c r="P31" i="17"/>
  <c r="S31" i="17"/>
  <c r="Q30" i="17"/>
  <c r="P30" i="17"/>
  <c r="R30" i="17"/>
  <c r="S30" i="17"/>
  <c r="P29" i="17"/>
  <c r="R29" i="17"/>
  <c r="Q29" i="17"/>
  <c r="S29" i="17"/>
  <c r="R28" i="17"/>
  <c r="Q28" i="17"/>
  <c r="P28" i="17"/>
  <c r="R27" i="17"/>
  <c r="Q27" i="17"/>
  <c r="P27" i="17"/>
  <c r="R26" i="17"/>
  <c r="Q26" i="17"/>
  <c r="P26" i="17"/>
  <c r="S25" i="17"/>
  <c r="R25" i="17"/>
  <c r="Q25" i="17"/>
  <c r="P25" i="17"/>
  <c r="P24" i="17"/>
  <c r="P23" i="17"/>
  <c r="Q23" i="17"/>
  <c r="R22" i="17"/>
  <c r="Q22" i="17"/>
  <c r="P22" i="17"/>
  <c r="P21" i="17"/>
  <c r="S20" i="17"/>
  <c r="R20" i="17"/>
  <c r="Q20" i="17"/>
  <c r="P20" i="17"/>
  <c r="Q18" i="17"/>
  <c r="P18" i="17"/>
  <c r="R18" i="17"/>
  <c r="S18" i="17"/>
  <c r="S17" i="17"/>
  <c r="R17" i="17"/>
  <c r="Q17" i="17"/>
  <c r="P17" i="17"/>
  <c r="R15" i="17"/>
  <c r="Q15" i="17"/>
  <c r="P15" i="17"/>
  <c r="R14" i="17"/>
  <c r="Q14" i="17"/>
  <c r="P14" i="17"/>
  <c r="R13" i="17"/>
  <c r="Q13" i="17"/>
  <c r="P13" i="17"/>
  <c r="S13" i="17"/>
  <c r="O22" i="16"/>
  <c r="N22" i="16"/>
  <c r="M22" i="16"/>
  <c r="S23" i="17" l="1"/>
  <c r="T17" i="17"/>
  <c r="U17" i="17" s="1"/>
  <c r="S19" i="17"/>
  <c r="S24" i="17"/>
  <c r="R23" i="17"/>
  <c r="R34" i="17" s="1"/>
  <c r="T23" i="17"/>
  <c r="P19" i="17"/>
  <c r="S16" i="17"/>
  <c r="N34" i="17"/>
  <c r="P16" i="17"/>
  <c r="T16" i="17" s="1"/>
  <c r="M34" i="17"/>
  <c r="Q12" i="17"/>
  <c r="T12" i="17" s="1"/>
  <c r="T19" i="17"/>
  <c r="U19" i="17" s="1"/>
  <c r="I19" i="17" s="1"/>
  <c r="J19" i="18" s="1"/>
  <c r="T13" i="17"/>
  <c r="U13" i="17" s="1"/>
  <c r="I13" i="17" s="1"/>
  <c r="J13" i="18" s="1"/>
  <c r="T15" i="17"/>
  <c r="T28" i="17"/>
  <c r="T31" i="17"/>
  <c r="U31" i="17" s="1"/>
  <c r="I31" i="17" s="1"/>
  <c r="J31" i="18" s="1"/>
  <c r="T32" i="17"/>
  <c r="T27" i="17"/>
  <c r="T26" i="17"/>
  <c r="T20" i="17"/>
  <c r="U20" i="17" s="1"/>
  <c r="I20" i="17" s="1"/>
  <c r="J20" i="18" s="1"/>
  <c r="T21" i="17"/>
  <c r="T29" i="17"/>
  <c r="U29" i="17" s="1"/>
  <c r="I29" i="17" s="1"/>
  <c r="J29" i="18" s="1"/>
  <c r="T30" i="17"/>
  <c r="U30" i="17" s="1"/>
  <c r="I30" i="17" s="1"/>
  <c r="J30" i="18" s="1"/>
  <c r="T25" i="17"/>
  <c r="U25" i="17" s="1"/>
  <c r="I25" i="17" s="1"/>
  <c r="J25" i="18" s="1"/>
  <c r="T14" i="17"/>
  <c r="T24" i="17"/>
  <c r="T18" i="17"/>
  <c r="U18" i="17" s="1"/>
  <c r="I18" i="17" s="1"/>
  <c r="J18" i="18" s="1"/>
  <c r="T22" i="17"/>
  <c r="S15" i="17"/>
  <c r="S14" i="17"/>
  <c r="S21" i="17"/>
  <c r="S27" i="17"/>
  <c r="S22" i="17"/>
  <c r="S28" i="17"/>
  <c r="S32" i="17"/>
  <c r="O34" i="17"/>
  <c r="S12" i="17"/>
  <c r="S26" i="17"/>
  <c r="O31" i="16"/>
  <c r="N31" i="16"/>
  <c r="M31" i="16"/>
  <c r="O32" i="16"/>
  <c r="N32" i="16"/>
  <c r="M32" i="16"/>
  <c r="O30" i="16"/>
  <c r="N30" i="16"/>
  <c r="M30" i="16"/>
  <c r="O28" i="16"/>
  <c r="N28" i="16"/>
  <c r="M28" i="16"/>
  <c r="O27" i="16"/>
  <c r="N27" i="16"/>
  <c r="M27" i="16"/>
  <c r="O25" i="16"/>
  <c r="N25" i="16"/>
  <c r="M25" i="16"/>
  <c r="O18" i="16"/>
  <c r="N18" i="16"/>
  <c r="M18" i="16"/>
  <c r="O21" i="16"/>
  <c r="N21" i="16"/>
  <c r="M21" i="16"/>
  <c r="O20" i="16"/>
  <c r="N20" i="16"/>
  <c r="M20" i="16"/>
  <c r="O19" i="16"/>
  <c r="N19" i="16"/>
  <c r="M19" i="16"/>
  <c r="O16" i="16"/>
  <c r="N16" i="16"/>
  <c r="M16" i="16"/>
  <c r="O15" i="16"/>
  <c r="N15" i="16"/>
  <c r="M15" i="16"/>
  <c r="Q34" i="17" l="1"/>
  <c r="U23" i="17"/>
  <c r="I23" i="17" s="1"/>
  <c r="J23" i="18" s="1"/>
  <c r="U24" i="17"/>
  <c r="I24" i="17" s="1"/>
  <c r="J24" i="18" s="1"/>
  <c r="U16" i="17"/>
  <c r="I16" i="17" s="1"/>
  <c r="J16" i="18" s="1"/>
  <c r="U32" i="17"/>
  <c r="I32" i="17" s="1"/>
  <c r="J32" i="18" s="1"/>
  <c r="U14" i="17"/>
  <c r="I14" i="17" s="1"/>
  <c r="J14" i="18" s="1"/>
  <c r="F34" i="17"/>
  <c r="P34" i="17"/>
  <c r="E34" i="17" s="1"/>
  <c r="U22" i="17"/>
  <c r="I22" i="17" s="1"/>
  <c r="J22" i="18" s="1"/>
  <c r="U28" i="17"/>
  <c r="I28" i="17" s="1"/>
  <c r="J28" i="18" s="1"/>
  <c r="U15" i="17"/>
  <c r="I15" i="17" s="1"/>
  <c r="J15" i="18" s="1"/>
  <c r="U26" i="17"/>
  <c r="I26" i="17" s="1"/>
  <c r="J26" i="18" s="1"/>
  <c r="U27" i="17"/>
  <c r="I27" i="17" s="1"/>
  <c r="J27" i="18" s="1"/>
  <c r="G34" i="17"/>
  <c r="U21" i="17"/>
  <c r="I21" i="17" s="1"/>
  <c r="J21" i="18" s="1"/>
  <c r="S34" i="17"/>
  <c r="U12" i="17"/>
  <c r="I12" i="17" s="1"/>
  <c r="J12" i="18" s="1"/>
  <c r="O12" i="16"/>
  <c r="N12" i="16"/>
  <c r="M12" i="16"/>
  <c r="O26" i="16"/>
  <c r="N26" i="16"/>
  <c r="M26" i="16"/>
  <c r="I35" i="17" l="1"/>
  <c r="J35" i="18" s="1"/>
  <c r="T34" i="17"/>
  <c r="U34" i="17" s="1"/>
  <c r="I34" i="17" s="1"/>
  <c r="J34" i="18" s="1"/>
  <c r="O29" i="16"/>
  <c r="N29" i="16"/>
  <c r="M29" i="16"/>
  <c r="O13" i="16"/>
  <c r="N13" i="16"/>
  <c r="M13" i="16"/>
  <c r="O14" i="16"/>
  <c r="N14" i="16"/>
  <c r="M14" i="16"/>
  <c r="O24" i="16" l="1"/>
  <c r="N24" i="16"/>
  <c r="M24" i="16"/>
  <c r="O23" i="16"/>
  <c r="N23" i="16"/>
  <c r="M23" i="16"/>
  <c r="E35" i="15"/>
  <c r="G35" i="16" l="1"/>
  <c r="F35" i="16"/>
  <c r="E35" i="16"/>
  <c r="R32" i="16"/>
  <c r="Q32" i="16"/>
  <c r="P32" i="16"/>
  <c r="S32" i="16"/>
  <c r="Q31" i="16"/>
  <c r="P31" i="16"/>
  <c r="R31" i="16"/>
  <c r="S31" i="16"/>
  <c r="P30" i="16"/>
  <c r="R30" i="16"/>
  <c r="Q30" i="16"/>
  <c r="S30" i="16"/>
  <c r="R29" i="16"/>
  <c r="Q29" i="16"/>
  <c r="S29" i="16"/>
  <c r="R28" i="16"/>
  <c r="Q28" i="16"/>
  <c r="P28" i="16"/>
  <c r="R27" i="16"/>
  <c r="Q27" i="16"/>
  <c r="P27" i="16"/>
  <c r="R26" i="16"/>
  <c r="Q26" i="16"/>
  <c r="P26" i="16"/>
  <c r="S26" i="16"/>
  <c r="Q25" i="16"/>
  <c r="P25" i="16"/>
  <c r="R25" i="16"/>
  <c r="S25" i="16"/>
  <c r="P24" i="16"/>
  <c r="R24" i="16"/>
  <c r="Q24" i="16"/>
  <c r="S24" i="16"/>
  <c r="R23" i="16"/>
  <c r="Q23" i="16"/>
  <c r="S23" i="16"/>
  <c r="R22" i="16"/>
  <c r="Q22" i="16"/>
  <c r="S22" i="16"/>
  <c r="R21" i="16"/>
  <c r="Q21" i="16"/>
  <c r="P21" i="16"/>
  <c r="R20" i="16"/>
  <c r="Q20" i="16"/>
  <c r="P20" i="16"/>
  <c r="S20" i="16"/>
  <c r="Q19" i="16"/>
  <c r="P19" i="16"/>
  <c r="R19" i="16"/>
  <c r="S19" i="16"/>
  <c r="P18" i="16"/>
  <c r="R18" i="16"/>
  <c r="Q18" i="16"/>
  <c r="S18" i="16"/>
  <c r="S17" i="16"/>
  <c r="R17" i="16"/>
  <c r="Q17" i="16"/>
  <c r="P17" i="16"/>
  <c r="R16" i="16"/>
  <c r="Q16" i="16"/>
  <c r="S16" i="16"/>
  <c r="R15" i="16"/>
  <c r="Q15" i="16"/>
  <c r="S15" i="16"/>
  <c r="S14" i="16"/>
  <c r="R14" i="16"/>
  <c r="Q14" i="16"/>
  <c r="P14" i="16"/>
  <c r="R13" i="16"/>
  <c r="Q13" i="16"/>
  <c r="P13" i="16"/>
  <c r="R12" i="16"/>
  <c r="Q12" i="16"/>
  <c r="P12" i="16"/>
  <c r="N34" i="16"/>
  <c r="M34" i="16"/>
  <c r="T17" i="16" l="1"/>
  <c r="U17" i="16" s="1"/>
  <c r="T28" i="16"/>
  <c r="T21" i="16"/>
  <c r="T14" i="16"/>
  <c r="U14" i="16" s="1"/>
  <c r="I14" i="16" s="1"/>
  <c r="J14" i="17" s="1"/>
  <c r="T18" i="16"/>
  <c r="U18" i="16" s="1"/>
  <c r="I18" i="16" s="1"/>
  <c r="J18" i="17" s="1"/>
  <c r="T27" i="16"/>
  <c r="T30" i="16"/>
  <c r="U30" i="16" s="1"/>
  <c r="I30" i="16" s="1"/>
  <c r="J30" i="17" s="1"/>
  <c r="T12" i="16"/>
  <c r="T20" i="16"/>
  <c r="U20" i="16" s="1"/>
  <c r="I20" i="16" s="1"/>
  <c r="J20" i="17" s="1"/>
  <c r="T32" i="16"/>
  <c r="U32" i="16" s="1"/>
  <c r="I32" i="16" s="1"/>
  <c r="J32" i="17" s="1"/>
  <c r="T26" i="16"/>
  <c r="U26" i="16" s="1"/>
  <c r="I26" i="16" s="1"/>
  <c r="J26" i="17" s="1"/>
  <c r="T13" i="16"/>
  <c r="T25" i="16"/>
  <c r="U25" i="16" s="1"/>
  <c r="I25" i="16" s="1"/>
  <c r="J25" i="17" s="1"/>
  <c r="T24" i="16"/>
  <c r="U24" i="16" s="1"/>
  <c r="I24" i="16" s="1"/>
  <c r="J24" i="17" s="1"/>
  <c r="T19" i="16"/>
  <c r="U19" i="16" s="1"/>
  <c r="I19" i="16" s="1"/>
  <c r="J19" i="17" s="1"/>
  <c r="T31" i="16"/>
  <c r="U31" i="16" s="1"/>
  <c r="I31" i="16" s="1"/>
  <c r="J31" i="17" s="1"/>
  <c r="R34" i="16"/>
  <c r="S28" i="16"/>
  <c r="S13" i="16"/>
  <c r="S27" i="16"/>
  <c r="S12" i="16"/>
  <c r="P16" i="16"/>
  <c r="T16" i="16" s="1"/>
  <c r="U16" i="16" s="1"/>
  <c r="I16" i="16" s="1"/>
  <c r="J16" i="17" s="1"/>
  <c r="P23" i="16"/>
  <c r="T23" i="16" s="1"/>
  <c r="U23" i="16" s="1"/>
  <c r="I23" i="16" s="1"/>
  <c r="J23" i="17" s="1"/>
  <c r="P29" i="16"/>
  <c r="T29" i="16" s="1"/>
  <c r="U29" i="16" s="1"/>
  <c r="I29" i="16" s="1"/>
  <c r="J29" i="17" s="1"/>
  <c r="Q34" i="16"/>
  <c r="F34" i="16" s="1"/>
  <c r="O34" i="16"/>
  <c r="S34" i="16" s="1"/>
  <c r="S21" i="16"/>
  <c r="P15" i="16"/>
  <c r="T15" i="16" s="1"/>
  <c r="U15" i="16" s="1"/>
  <c r="I15" i="16" s="1"/>
  <c r="J15" i="17" s="1"/>
  <c r="P22" i="16"/>
  <c r="T22" i="16" s="1"/>
  <c r="U22" i="16" s="1"/>
  <c r="I22" i="16" s="1"/>
  <c r="O32" i="15"/>
  <c r="N32" i="15"/>
  <c r="M32" i="15"/>
  <c r="O30" i="15"/>
  <c r="N30" i="15"/>
  <c r="M30" i="15"/>
  <c r="O28" i="15"/>
  <c r="N28" i="15"/>
  <c r="M28" i="15"/>
  <c r="O22" i="15"/>
  <c r="N22" i="15"/>
  <c r="M22" i="15"/>
  <c r="O18" i="15"/>
  <c r="N18" i="15"/>
  <c r="M18" i="15"/>
  <c r="O15" i="15"/>
  <c r="N15" i="15"/>
  <c r="M15" i="15"/>
  <c r="O29" i="15"/>
  <c r="N29" i="15"/>
  <c r="M29" i="15"/>
  <c r="O27" i="15"/>
  <c r="N27" i="15"/>
  <c r="M27" i="15"/>
  <c r="O13" i="15"/>
  <c r="N13" i="15"/>
  <c r="M13" i="15"/>
  <c r="U12" i="16" l="1"/>
  <c r="I12" i="16" s="1"/>
  <c r="J12" i="17" s="1"/>
  <c r="J22" i="17"/>
  <c r="U28" i="16"/>
  <c r="I28" i="16" s="1"/>
  <c r="J28" i="17" s="1"/>
  <c r="U21" i="16"/>
  <c r="I21" i="16" s="1"/>
  <c r="J21" i="17" s="1"/>
  <c r="U27" i="16"/>
  <c r="I27" i="16" s="1"/>
  <c r="J27" i="17" s="1"/>
  <c r="P34" i="16"/>
  <c r="G34" i="16"/>
  <c r="U13" i="16"/>
  <c r="I13" i="16" s="1"/>
  <c r="J13" i="17" s="1"/>
  <c r="O26" i="15"/>
  <c r="N26" i="15"/>
  <c r="M26" i="15"/>
  <c r="T34" i="16" l="1"/>
  <c r="U34" i="16" s="1"/>
  <c r="I34" i="16" s="1"/>
  <c r="J34" i="17" s="1"/>
  <c r="E34" i="16"/>
  <c r="I35" i="16"/>
  <c r="O24" i="15"/>
  <c r="N24" i="15"/>
  <c r="M24" i="15"/>
  <c r="O23" i="15"/>
  <c r="N23" i="15"/>
  <c r="M23" i="15"/>
  <c r="O31" i="15"/>
  <c r="N31" i="15"/>
  <c r="M31" i="15"/>
  <c r="O25" i="15"/>
  <c r="N25" i="15"/>
  <c r="M25" i="15"/>
  <c r="O21" i="15"/>
  <c r="N21" i="15"/>
  <c r="M21" i="15"/>
  <c r="O20" i="15"/>
  <c r="N20" i="15"/>
  <c r="M20" i="15"/>
  <c r="O19" i="15"/>
  <c r="N19" i="15"/>
  <c r="M19" i="15"/>
  <c r="O16" i="15"/>
  <c r="N16" i="15"/>
  <c r="M16" i="15"/>
  <c r="O12" i="15"/>
  <c r="N12" i="15"/>
  <c r="M12" i="15"/>
  <c r="J35" i="17" l="1"/>
  <c r="G35" i="15"/>
  <c r="F35" i="15"/>
  <c r="R32" i="15"/>
  <c r="P32" i="15"/>
  <c r="Q32" i="15"/>
  <c r="S32" i="15"/>
  <c r="Q31" i="15"/>
  <c r="R31" i="15"/>
  <c r="P31" i="15"/>
  <c r="R30" i="15"/>
  <c r="P30" i="15"/>
  <c r="Q30" i="15"/>
  <c r="Q29" i="15"/>
  <c r="R29" i="15"/>
  <c r="P29" i="15"/>
  <c r="R28" i="15"/>
  <c r="P28" i="15"/>
  <c r="Q28" i="15"/>
  <c r="S28" i="15"/>
  <c r="Q27" i="15"/>
  <c r="R27" i="15"/>
  <c r="P27" i="15"/>
  <c r="R26" i="15"/>
  <c r="P26" i="15"/>
  <c r="Q26" i="15"/>
  <c r="Q25" i="15"/>
  <c r="R25" i="15"/>
  <c r="P25" i="15"/>
  <c r="R24" i="15"/>
  <c r="P24" i="15"/>
  <c r="Q24" i="15"/>
  <c r="S24" i="15"/>
  <c r="Q23" i="15"/>
  <c r="R23" i="15"/>
  <c r="P23" i="15"/>
  <c r="R22" i="15"/>
  <c r="P22" i="15"/>
  <c r="Q22" i="15"/>
  <c r="Q21" i="15"/>
  <c r="R21" i="15"/>
  <c r="P21" i="15"/>
  <c r="R20" i="15"/>
  <c r="P20" i="15"/>
  <c r="Q20" i="15"/>
  <c r="S20" i="15"/>
  <c r="Q19" i="15"/>
  <c r="R19" i="15"/>
  <c r="P19" i="15"/>
  <c r="R18" i="15"/>
  <c r="P18" i="15"/>
  <c r="Q18" i="15"/>
  <c r="S17" i="15"/>
  <c r="R17" i="15"/>
  <c r="Q17" i="15"/>
  <c r="P17" i="15"/>
  <c r="Q16" i="15"/>
  <c r="R16" i="15"/>
  <c r="P16" i="15"/>
  <c r="R15" i="15"/>
  <c r="P15" i="15"/>
  <c r="Q15" i="15"/>
  <c r="Q14" i="15"/>
  <c r="R14" i="15"/>
  <c r="P14" i="15"/>
  <c r="R13" i="15"/>
  <c r="P13" i="15"/>
  <c r="Q13" i="15"/>
  <c r="S13" i="15"/>
  <c r="Q12" i="15"/>
  <c r="R12" i="15"/>
  <c r="M34" i="15"/>
  <c r="T21" i="15" l="1"/>
  <c r="T13" i="15"/>
  <c r="U13" i="15" s="1"/>
  <c r="I13" i="15" s="1"/>
  <c r="J13" i="16" s="1"/>
  <c r="T24" i="15"/>
  <c r="U24" i="15" s="1"/>
  <c r="I24" i="15" s="1"/>
  <c r="J24" i="16" s="1"/>
  <c r="T27" i="15"/>
  <c r="Q34" i="15"/>
  <c r="T17" i="15"/>
  <c r="U17" i="15" s="1"/>
  <c r="T29" i="15"/>
  <c r="T30" i="15"/>
  <c r="T22" i="15"/>
  <c r="T15" i="15"/>
  <c r="T19" i="15"/>
  <c r="T32" i="15"/>
  <c r="U32" i="15" s="1"/>
  <c r="I32" i="15" s="1"/>
  <c r="J32" i="16" s="1"/>
  <c r="T14" i="15"/>
  <c r="T18" i="15"/>
  <c r="T23" i="15"/>
  <c r="T26" i="15"/>
  <c r="T31" i="15"/>
  <c r="R34" i="15"/>
  <c r="T16" i="15"/>
  <c r="T20" i="15"/>
  <c r="U20" i="15" s="1"/>
  <c r="I20" i="15" s="1"/>
  <c r="J20" i="16" s="1"/>
  <c r="T25" i="15"/>
  <c r="T28" i="15"/>
  <c r="U28" i="15" s="1"/>
  <c r="I28" i="15" s="1"/>
  <c r="J28" i="16" s="1"/>
  <c r="N34" i="15"/>
  <c r="P12" i="15"/>
  <c r="S15" i="15"/>
  <c r="S18" i="15"/>
  <c r="S22" i="15"/>
  <c r="S26" i="15"/>
  <c r="S30" i="15"/>
  <c r="O34" i="15"/>
  <c r="S16" i="15"/>
  <c r="S19" i="15"/>
  <c r="S23" i="15"/>
  <c r="S27" i="15"/>
  <c r="U27" i="15" s="1"/>
  <c r="I27" i="15" s="1"/>
  <c r="J27" i="16" s="1"/>
  <c r="S31" i="15"/>
  <c r="S21" i="15"/>
  <c r="S25" i="15"/>
  <c r="S29" i="15"/>
  <c r="S12" i="15"/>
  <c r="S14" i="15"/>
  <c r="O32" i="14"/>
  <c r="N32" i="14"/>
  <c r="M32" i="14"/>
  <c r="O30" i="14"/>
  <c r="N30" i="14"/>
  <c r="M30" i="14"/>
  <c r="O31" i="14"/>
  <c r="N31" i="14"/>
  <c r="M31" i="14"/>
  <c r="O25" i="14"/>
  <c r="N25" i="14"/>
  <c r="M25" i="14"/>
  <c r="O22" i="14"/>
  <c r="N22" i="14"/>
  <c r="M22" i="14"/>
  <c r="O18" i="14"/>
  <c r="N18" i="14"/>
  <c r="M18" i="14"/>
  <c r="O27" i="14"/>
  <c r="N27" i="14"/>
  <c r="M27" i="14"/>
  <c r="O21" i="14"/>
  <c r="N21" i="14"/>
  <c r="M21" i="14"/>
  <c r="O20" i="14"/>
  <c r="N20" i="14"/>
  <c r="M20" i="14"/>
  <c r="O19" i="14"/>
  <c r="N19" i="14"/>
  <c r="M19" i="14"/>
  <c r="P17" i="14"/>
  <c r="O16" i="14"/>
  <c r="N16" i="14"/>
  <c r="M16" i="14"/>
  <c r="O15" i="14"/>
  <c r="N15" i="14"/>
  <c r="M15" i="14"/>
  <c r="U30" i="15" l="1"/>
  <c r="I30" i="15" s="1"/>
  <c r="J30" i="16" s="1"/>
  <c r="U15" i="15"/>
  <c r="I15" i="15" s="1"/>
  <c r="J15" i="16" s="1"/>
  <c r="U29" i="15"/>
  <c r="I29" i="15" s="1"/>
  <c r="J29" i="16" s="1"/>
  <c r="U21" i="15"/>
  <c r="I21" i="15" s="1"/>
  <c r="J21" i="16" s="1"/>
  <c r="F34" i="15"/>
  <c r="U19" i="15"/>
  <c r="I19" i="15" s="1"/>
  <c r="J19" i="16" s="1"/>
  <c r="U22" i="15"/>
  <c r="I22" i="15" s="1"/>
  <c r="J22" i="16" s="1"/>
  <c r="S34" i="15"/>
  <c r="U31" i="15"/>
  <c r="I31" i="15" s="1"/>
  <c r="J31" i="16" s="1"/>
  <c r="U14" i="15"/>
  <c r="P34" i="15"/>
  <c r="T12" i="15"/>
  <c r="U12" i="15" s="1"/>
  <c r="I12" i="15" s="1"/>
  <c r="J12" i="16" s="1"/>
  <c r="U26" i="15"/>
  <c r="I26" i="15" s="1"/>
  <c r="J26" i="16" s="1"/>
  <c r="U16" i="15"/>
  <c r="I16" i="15" s="1"/>
  <c r="J16" i="16" s="1"/>
  <c r="U23" i="15"/>
  <c r="I23" i="15" s="1"/>
  <c r="J23" i="16" s="1"/>
  <c r="G34" i="15"/>
  <c r="U18" i="15"/>
  <c r="I18" i="15" s="1"/>
  <c r="J18" i="16" s="1"/>
  <c r="U25" i="15"/>
  <c r="I25" i="15" s="1"/>
  <c r="J25" i="16" s="1"/>
  <c r="O28" i="14"/>
  <c r="N28" i="14"/>
  <c r="M28" i="14"/>
  <c r="O26" i="14"/>
  <c r="N26" i="14"/>
  <c r="M26" i="14"/>
  <c r="I35" i="15" l="1"/>
  <c r="J35" i="16" s="1"/>
  <c r="T34" i="15"/>
  <c r="U34" i="15" s="1"/>
  <c r="I34" i="15" s="1"/>
  <c r="J34" i="16" s="1"/>
  <c r="E34" i="15"/>
  <c r="O29" i="14"/>
  <c r="N29" i="14"/>
  <c r="M29" i="14"/>
  <c r="O13" i="14"/>
  <c r="N13" i="14"/>
  <c r="M13" i="14"/>
  <c r="O14" i="14"/>
  <c r="N14" i="14"/>
  <c r="M14" i="14"/>
  <c r="O24" i="14" l="1"/>
  <c r="N24" i="14"/>
  <c r="Q24" i="14" s="1"/>
  <c r="M24" i="14"/>
  <c r="P24" i="14" s="1"/>
  <c r="O23" i="14"/>
  <c r="R23" i="14" s="1"/>
  <c r="N23" i="14"/>
  <c r="M23" i="14"/>
  <c r="O12" i="14"/>
  <c r="N12" i="14"/>
  <c r="Q12" i="14" s="1"/>
  <c r="M12" i="14"/>
  <c r="G35" i="14"/>
  <c r="F35" i="14"/>
  <c r="E35" i="14"/>
  <c r="R32" i="14"/>
  <c r="P32" i="14"/>
  <c r="Q32" i="14"/>
  <c r="S32" i="14"/>
  <c r="Q31" i="14"/>
  <c r="R31" i="14"/>
  <c r="S31" i="14"/>
  <c r="R30" i="14"/>
  <c r="P30" i="14"/>
  <c r="Q30" i="14"/>
  <c r="Q29" i="14"/>
  <c r="R29" i="14"/>
  <c r="P29" i="14"/>
  <c r="R28" i="14"/>
  <c r="P28" i="14"/>
  <c r="Q28" i="14"/>
  <c r="S28" i="14"/>
  <c r="Q27" i="14"/>
  <c r="R27" i="14"/>
  <c r="S27" i="14"/>
  <c r="R26" i="14"/>
  <c r="P26" i="14"/>
  <c r="Q26" i="14"/>
  <c r="Q25" i="14"/>
  <c r="S25" i="14"/>
  <c r="P25" i="14"/>
  <c r="R24" i="14"/>
  <c r="Q23" i="14"/>
  <c r="R22" i="14"/>
  <c r="P22" i="14"/>
  <c r="Q22" i="14"/>
  <c r="Q21" i="14"/>
  <c r="S21" i="14"/>
  <c r="P21" i="14"/>
  <c r="R20" i="14"/>
  <c r="P20" i="14"/>
  <c r="Q20" i="14"/>
  <c r="S20" i="14"/>
  <c r="Q19" i="14"/>
  <c r="R19" i="14"/>
  <c r="S19" i="14"/>
  <c r="R18" i="14"/>
  <c r="P18" i="14"/>
  <c r="Q18" i="14"/>
  <c r="S17" i="14"/>
  <c r="R17" i="14"/>
  <c r="Q17" i="14"/>
  <c r="Q16" i="14"/>
  <c r="R16" i="14"/>
  <c r="P16" i="14"/>
  <c r="R15" i="14"/>
  <c r="P15" i="14"/>
  <c r="Q15" i="14"/>
  <c r="Q14" i="14"/>
  <c r="R14" i="14"/>
  <c r="P14" i="14"/>
  <c r="R13" i="14"/>
  <c r="P13" i="14"/>
  <c r="Q13" i="14"/>
  <c r="S13" i="14"/>
  <c r="R12" i="14"/>
  <c r="M34" i="14" l="1"/>
  <c r="S24" i="14"/>
  <c r="T13" i="14"/>
  <c r="U13" i="14" s="1"/>
  <c r="I13" i="14" s="1"/>
  <c r="N34" i="14"/>
  <c r="S23" i="14"/>
  <c r="T17" i="14"/>
  <c r="U17" i="14" s="1"/>
  <c r="T30" i="14"/>
  <c r="T22" i="14"/>
  <c r="T15" i="14"/>
  <c r="T24" i="14"/>
  <c r="T29" i="14"/>
  <c r="T32" i="14"/>
  <c r="U32" i="14" s="1"/>
  <c r="I32" i="14" s="1"/>
  <c r="Q34" i="14"/>
  <c r="T14" i="14"/>
  <c r="T18" i="14"/>
  <c r="T26" i="14"/>
  <c r="T16" i="14"/>
  <c r="T20" i="14"/>
  <c r="U20" i="14" s="1"/>
  <c r="I20" i="14" s="1"/>
  <c r="T28" i="14"/>
  <c r="U28" i="14" s="1"/>
  <c r="I28" i="14" s="1"/>
  <c r="S14" i="14"/>
  <c r="S29" i="14"/>
  <c r="S12" i="14"/>
  <c r="S16" i="14"/>
  <c r="P12" i="14"/>
  <c r="S15" i="14"/>
  <c r="S18" i="14"/>
  <c r="P19" i="14"/>
  <c r="T19" i="14" s="1"/>
  <c r="U19" i="14" s="1"/>
  <c r="I19" i="14" s="1"/>
  <c r="R21" i="14"/>
  <c r="T21" i="14" s="1"/>
  <c r="U21" i="14" s="1"/>
  <c r="I21" i="14" s="1"/>
  <c r="S22" i="14"/>
  <c r="P23" i="14"/>
  <c r="T23" i="14" s="1"/>
  <c r="U23" i="14" s="1"/>
  <c r="I23" i="14" s="1"/>
  <c r="R25" i="14"/>
  <c r="T25" i="14" s="1"/>
  <c r="U25" i="14" s="1"/>
  <c r="I25" i="14" s="1"/>
  <c r="S26" i="14"/>
  <c r="P27" i="14"/>
  <c r="T27" i="14" s="1"/>
  <c r="U27" i="14" s="1"/>
  <c r="I27" i="14" s="1"/>
  <c r="S30" i="14"/>
  <c r="P31" i="14"/>
  <c r="T31" i="14" s="1"/>
  <c r="U31" i="14" s="1"/>
  <c r="I31" i="14" s="1"/>
  <c r="O34" i="14"/>
  <c r="O20" i="13"/>
  <c r="N20" i="13"/>
  <c r="M20" i="13"/>
  <c r="J19" i="15" l="1"/>
  <c r="J27" i="15"/>
  <c r="J25" i="15"/>
  <c r="J23" i="15"/>
  <c r="J20" i="15"/>
  <c r="J32" i="15"/>
  <c r="J31" i="15"/>
  <c r="U22" i="14"/>
  <c r="I22" i="14" s="1"/>
  <c r="J13" i="15"/>
  <c r="J28" i="15"/>
  <c r="J21" i="15"/>
  <c r="U24" i="14"/>
  <c r="I24" i="14" s="1"/>
  <c r="U30" i="14"/>
  <c r="I30" i="14" s="1"/>
  <c r="U15" i="14"/>
  <c r="I15" i="14" s="1"/>
  <c r="U26" i="14"/>
  <c r="I26" i="14" s="1"/>
  <c r="U29" i="14"/>
  <c r="I29" i="14" s="1"/>
  <c r="S34" i="14"/>
  <c r="F34" i="14"/>
  <c r="U14" i="14"/>
  <c r="I14" i="14" s="1"/>
  <c r="U18" i="14"/>
  <c r="I18" i="14" s="1"/>
  <c r="U16" i="14"/>
  <c r="I16" i="14" s="1"/>
  <c r="P34" i="14"/>
  <c r="T12" i="14"/>
  <c r="U12" i="14" s="1"/>
  <c r="I12" i="14" s="1"/>
  <c r="R34" i="14"/>
  <c r="G34" i="14" s="1"/>
  <c r="E35" i="13"/>
  <c r="J15" i="15" l="1"/>
  <c r="J26" i="15"/>
  <c r="J18" i="15"/>
  <c r="J29" i="15"/>
  <c r="J16" i="15"/>
  <c r="J30" i="15"/>
  <c r="J24" i="15"/>
  <c r="J12" i="15"/>
  <c r="J22" i="15"/>
  <c r="I35" i="14"/>
  <c r="E34" i="14"/>
  <c r="T34" i="14"/>
  <c r="U34" i="14" s="1"/>
  <c r="I34" i="14" s="1"/>
  <c r="O31" i="13"/>
  <c r="N31" i="13"/>
  <c r="M31" i="13"/>
  <c r="O32" i="13"/>
  <c r="N32" i="13"/>
  <c r="M32" i="13"/>
  <c r="O30" i="13"/>
  <c r="N30" i="13"/>
  <c r="M30" i="13"/>
  <c r="O27" i="13"/>
  <c r="N27" i="13"/>
  <c r="M27" i="13"/>
  <c r="O21" i="13"/>
  <c r="N21" i="13"/>
  <c r="M21" i="13"/>
  <c r="O25" i="13"/>
  <c r="N25" i="13"/>
  <c r="M25" i="13"/>
  <c r="O19" i="13"/>
  <c r="N19" i="13"/>
  <c r="M19" i="13"/>
  <c r="O18" i="13"/>
  <c r="N18" i="13"/>
  <c r="M18" i="13"/>
  <c r="O22" i="13"/>
  <c r="N22" i="13"/>
  <c r="M22" i="13"/>
  <c r="O28" i="13"/>
  <c r="N28" i="13"/>
  <c r="M28" i="13"/>
  <c r="O29" i="13"/>
  <c r="N29" i="13"/>
  <c r="M29" i="13"/>
  <c r="O14" i="13"/>
  <c r="N14" i="13"/>
  <c r="M14" i="13"/>
  <c r="O13" i="13"/>
  <c r="N13" i="13"/>
  <c r="M13" i="13"/>
  <c r="O15" i="13"/>
  <c r="N15" i="13"/>
  <c r="M15" i="13"/>
  <c r="O16" i="13"/>
  <c r="N16" i="13"/>
  <c r="M16" i="13"/>
  <c r="O12" i="13"/>
  <c r="N12" i="13"/>
  <c r="M12" i="13"/>
  <c r="J35" i="15" l="1"/>
  <c r="J34" i="15"/>
  <c r="O24" i="13"/>
  <c r="N24" i="13"/>
  <c r="M24" i="13"/>
  <c r="O23" i="13"/>
  <c r="N23" i="13"/>
  <c r="M23" i="13"/>
  <c r="O26" i="13"/>
  <c r="N26" i="13"/>
  <c r="M26" i="13"/>
  <c r="G35" i="13" l="1"/>
  <c r="F35" i="13"/>
  <c r="R32" i="13"/>
  <c r="S32" i="13"/>
  <c r="P32" i="13"/>
  <c r="R31" i="13"/>
  <c r="Q31" i="13"/>
  <c r="S31" i="13"/>
  <c r="R30" i="13"/>
  <c r="Q30" i="13"/>
  <c r="P30" i="13"/>
  <c r="S30" i="13"/>
  <c r="Q29" i="13"/>
  <c r="P29" i="13"/>
  <c r="S29" i="13"/>
  <c r="R28" i="13"/>
  <c r="P28" i="13"/>
  <c r="Q28" i="13"/>
  <c r="R27" i="13"/>
  <c r="Q27" i="13"/>
  <c r="S27" i="13"/>
  <c r="R26" i="13"/>
  <c r="Q26" i="13"/>
  <c r="P26" i="13"/>
  <c r="S26" i="13"/>
  <c r="Q25" i="13"/>
  <c r="P25" i="13"/>
  <c r="S25" i="13"/>
  <c r="R24" i="13"/>
  <c r="P24" i="13"/>
  <c r="S24" i="13"/>
  <c r="R23" i="13"/>
  <c r="Q23" i="13"/>
  <c r="S23" i="13"/>
  <c r="R22" i="13"/>
  <c r="Q22" i="13"/>
  <c r="P22" i="13"/>
  <c r="T22" i="13" s="1"/>
  <c r="S22" i="13"/>
  <c r="Q21" i="13"/>
  <c r="P21" i="13"/>
  <c r="S21" i="13"/>
  <c r="R20" i="13"/>
  <c r="P20" i="13"/>
  <c r="S20" i="13"/>
  <c r="R19" i="13"/>
  <c r="Q19" i="13"/>
  <c r="P19" i="13"/>
  <c r="S19" i="13"/>
  <c r="Q18" i="13"/>
  <c r="P18" i="13"/>
  <c r="S18" i="13"/>
  <c r="S17" i="13"/>
  <c r="R17" i="13"/>
  <c r="Q17" i="13"/>
  <c r="P17" i="13"/>
  <c r="R16" i="13"/>
  <c r="Q16" i="13"/>
  <c r="P16" i="13"/>
  <c r="S16" i="13"/>
  <c r="Q15" i="13"/>
  <c r="P15" i="13"/>
  <c r="R15" i="13"/>
  <c r="R14" i="13"/>
  <c r="P14" i="13"/>
  <c r="S14" i="13"/>
  <c r="R13" i="13"/>
  <c r="Q13" i="13"/>
  <c r="S13" i="13"/>
  <c r="R12" i="13"/>
  <c r="Q12" i="13"/>
  <c r="P12" i="13"/>
  <c r="O34" i="13"/>
  <c r="N34" i="13"/>
  <c r="M34" i="13"/>
  <c r="S34" i="13" l="1"/>
  <c r="T16" i="13"/>
  <c r="U16" i="13" s="1"/>
  <c r="I16" i="13" s="1"/>
  <c r="T28" i="13"/>
  <c r="T30" i="13"/>
  <c r="U30" i="13" s="1"/>
  <c r="I30" i="13" s="1"/>
  <c r="T17" i="13"/>
  <c r="U17" i="13" s="1"/>
  <c r="T19" i="13"/>
  <c r="U19" i="13" s="1"/>
  <c r="I19" i="13" s="1"/>
  <c r="T26" i="13"/>
  <c r="U26" i="13" s="1"/>
  <c r="I26" i="13" s="1"/>
  <c r="U22" i="13"/>
  <c r="I22" i="13" s="1"/>
  <c r="T15" i="13"/>
  <c r="T12" i="13"/>
  <c r="S15" i="13"/>
  <c r="S28" i="13"/>
  <c r="S12" i="13"/>
  <c r="P13" i="13"/>
  <c r="T13" i="13" s="1"/>
  <c r="U13" i="13" s="1"/>
  <c r="Q14" i="13"/>
  <c r="R18" i="13"/>
  <c r="T18" i="13" s="1"/>
  <c r="U18" i="13" s="1"/>
  <c r="I18" i="13" s="1"/>
  <c r="Q20" i="13"/>
  <c r="T20" i="13" s="1"/>
  <c r="U20" i="13" s="1"/>
  <c r="I20" i="13" s="1"/>
  <c r="R21" i="13"/>
  <c r="T21" i="13" s="1"/>
  <c r="U21" i="13" s="1"/>
  <c r="I21" i="13" s="1"/>
  <c r="P23" i="13"/>
  <c r="T23" i="13" s="1"/>
  <c r="U23" i="13" s="1"/>
  <c r="I23" i="13" s="1"/>
  <c r="Q24" i="13"/>
  <c r="T24" i="13" s="1"/>
  <c r="U24" i="13" s="1"/>
  <c r="I24" i="13" s="1"/>
  <c r="R25" i="13"/>
  <c r="T25" i="13" s="1"/>
  <c r="U25" i="13" s="1"/>
  <c r="I25" i="13" s="1"/>
  <c r="P27" i="13"/>
  <c r="T27" i="13" s="1"/>
  <c r="U27" i="13" s="1"/>
  <c r="I27" i="13" s="1"/>
  <c r="R29" i="13"/>
  <c r="T29" i="13" s="1"/>
  <c r="U29" i="13" s="1"/>
  <c r="I29" i="13" s="1"/>
  <c r="P31" i="13"/>
  <c r="T31" i="13" s="1"/>
  <c r="U31" i="13" s="1"/>
  <c r="I31" i="13" s="1"/>
  <c r="Q32" i="13"/>
  <c r="T32" i="13" s="1"/>
  <c r="U32" i="13" s="1"/>
  <c r="I32" i="13" s="1"/>
  <c r="O26" i="12"/>
  <c r="N26" i="12"/>
  <c r="M26" i="12"/>
  <c r="J32" i="14" l="1"/>
  <c r="J21" i="14"/>
  <c r="J20" i="14"/>
  <c r="J18" i="14"/>
  <c r="J30" i="14"/>
  <c r="J31" i="14"/>
  <c r="J29" i="14"/>
  <c r="J25" i="14"/>
  <c r="J19" i="14"/>
  <c r="J27" i="14"/>
  <c r="J24" i="14"/>
  <c r="J22" i="14"/>
  <c r="J16" i="14"/>
  <c r="J23" i="14"/>
  <c r="J26" i="14"/>
  <c r="I13" i="13"/>
  <c r="U28" i="13"/>
  <c r="I28" i="13" s="1"/>
  <c r="Q34" i="13"/>
  <c r="F34" i="13" s="1"/>
  <c r="U12" i="13"/>
  <c r="I12" i="13" s="1"/>
  <c r="P34" i="13"/>
  <c r="E34" i="13" s="1"/>
  <c r="R34" i="13"/>
  <c r="G34" i="13" s="1"/>
  <c r="T14" i="13"/>
  <c r="U14" i="13" s="1"/>
  <c r="I14" i="13" s="1"/>
  <c r="U15" i="13"/>
  <c r="I15" i="13" s="1"/>
  <c r="O20" i="12"/>
  <c r="N20" i="12"/>
  <c r="M20" i="12"/>
  <c r="F35" i="12"/>
  <c r="J12" i="14" l="1"/>
  <c r="J15" i="14"/>
  <c r="J28" i="14"/>
  <c r="J14" i="14"/>
  <c r="J13" i="14"/>
  <c r="T34" i="13"/>
  <c r="U34" i="13" s="1"/>
  <c r="I34" i="13" s="1"/>
  <c r="I35" i="13"/>
  <c r="O32" i="12"/>
  <c r="N32" i="12"/>
  <c r="M32" i="12"/>
  <c r="O30" i="12"/>
  <c r="N30" i="12"/>
  <c r="M30" i="12"/>
  <c r="O18" i="12"/>
  <c r="N18" i="12"/>
  <c r="M18" i="12"/>
  <c r="O22" i="12"/>
  <c r="N22" i="12"/>
  <c r="M22" i="12"/>
  <c r="O29" i="12"/>
  <c r="N29" i="12"/>
  <c r="M29" i="12"/>
  <c r="O28" i="12"/>
  <c r="N28" i="12"/>
  <c r="M28" i="12"/>
  <c r="O27" i="12"/>
  <c r="N27" i="12"/>
  <c r="M27" i="12"/>
  <c r="O13" i="12"/>
  <c r="N13" i="12"/>
  <c r="M13" i="12"/>
  <c r="O14" i="12"/>
  <c r="N14" i="12"/>
  <c r="M14" i="12"/>
  <c r="O15" i="12"/>
  <c r="N15" i="12"/>
  <c r="M15" i="12"/>
  <c r="J34" i="14" l="1"/>
  <c r="J35" i="14"/>
  <c r="O24" i="12"/>
  <c r="N24" i="12"/>
  <c r="M24" i="12"/>
  <c r="O23" i="12"/>
  <c r="N23" i="12"/>
  <c r="M23" i="12"/>
  <c r="O31" i="12"/>
  <c r="N31" i="12"/>
  <c r="M31" i="12"/>
  <c r="O21" i="12"/>
  <c r="N21" i="12"/>
  <c r="M21" i="12"/>
  <c r="O25" i="12" l="1"/>
  <c r="N25" i="12"/>
  <c r="M25" i="12"/>
  <c r="O19" i="12"/>
  <c r="N19" i="12"/>
  <c r="M19" i="12"/>
  <c r="M16" i="12"/>
  <c r="O16" i="12"/>
  <c r="N16" i="12"/>
  <c r="O12" i="12"/>
  <c r="N12" i="12"/>
  <c r="M12" i="12"/>
  <c r="G35" i="12" l="1"/>
  <c r="E35" i="12"/>
  <c r="R32" i="12"/>
  <c r="P32" i="12"/>
  <c r="S32" i="12"/>
  <c r="R31" i="12"/>
  <c r="Q31" i="12"/>
  <c r="S31" i="12"/>
  <c r="R30" i="12"/>
  <c r="Q30" i="12"/>
  <c r="P30" i="12"/>
  <c r="S30" i="12"/>
  <c r="Q29" i="12"/>
  <c r="P29" i="12"/>
  <c r="S29" i="12"/>
  <c r="R28" i="12"/>
  <c r="P28" i="12"/>
  <c r="S28" i="12"/>
  <c r="R27" i="12"/>
  <c r="Q27" i="12"/>
  <c r="S27" i="12"/>
  <c r="R26" i="12"/>
  <c r="Q26" i="12"/>
  <c r="P26" i="12"/>
  <c r="S26" i="12"/>
  <c r="Q25" i="12"/>
  <c r="P25" i="12"/>
  <c r="S25" i="12"/>
  <c r="R24" i="12"/>
  <c r="P24" i="12"/>
  <c r="S24" i="12"/>
  <c r="R23" i="12"/>
  <c r="Q23" i="12"/>
  <c r="S23" i="12"/>
  <c r="R22" i="12"/>
  <c r="Q22" i="12"/>
  <c r="P22" i="12"/>
  <c r="S22" i="12"/>
  <c r="S21" i="12"/>
  <c r="Q21" i="12"/>
  <c r="P21" i="12"/>
  <c r="R21" i="12"/>
  <c r="S20" i="12"/>
  <c r="R20" i="12"/>
  <c r="Q20" i="12"/>
  <c r="P20" i="12"/>
  <c r="R19" i="12"/>
  <c r="Q19" i="12"/>
  <c r="P19" i="12"/>
  <c r="S19" i="12"/>
  <c r="Q18" i="12"/>
  <c r="P18" i="12"/>
  <c r="S18" i="12"/>
  <c r="R17" i="12"/>
  <c r="P17" i="12"/>
  <c r="S17" i="12"/>
  <c r="R16" i="12"/>
  <c r="Q16" i="12"/>
  <c r="S16" i="12"/>
  <c r="R15" i="12"/>
  <c r="Q15" i="12"/>
  <c r="P15" i="12"/>
  <c r="S15" i="12"/>
  <c r="Q14" i="12"/>
  <c r="P14" i="12"/>
  <c r="S14" i="12"/>
  <c r="R13" i="12"/>
  <c r="P13" i="12"/>
  <c r="S13" i="12"/>
  <c r="R12" i="12"/>
  <c r="Q12" i="12"/>
  <c r="O34" i="12"/>
  <c r="N34" i="12"/>
  <c r="S12" i="12"/>
  <c r="T19" i="12" l="1"/>
  <c r="U19" i="12" s="1"/>
  <c r="I19" i="12" s="1"/>
  <c r="T22" i="12"/>
  <c r="U22" i="12" s="1"/>
  <c r="I22" i="12" s="1"/>
  <c r="T26" i="12"/>
  <c r="U26" i="12" s="1"/>
  <c r="I26" i="12" s="1"/>
  <c r="T30" i="12"/>
  <c r="U30" i="12" s="1"/>
  <c r="I30" i="12" s="1"/>
  <c r="T15" i="12"/>
  <c r="U15" i="12" s="1"/>
  <c r="I15" i="12" s="1"/>
  <c r="T20" i="12"/>
  <c r="U20" i="12" s="1"/>
  <c r="I20" i="12" s="1"/>
  <c r="J20" i="13" s="1"/>
  <c r="T21" i="12"/>
  <c r="U21" i="12" s="1"/>
  <c r="I21" i="12" s="1"/>
  <c r="P12" i="12"/>
  <c r="Q13" i="12"/>
  <c r="T13" i="12" s="1"/>
  <c r="U13" i="12" s="1"/>
  <c r="I13" i="12" s="1"/>
  <c r="R14" i="12"/>
  <c r="P16" i="12"/>
  <c r="T16" i="12" s="1"/>
  <c r="U16" i="12" s="1"/>
  <c r="I16" i="12" s="1"/>
  <c r="Q17" i="12"/>
  <c r="R18" i="12"/>
  <c r="T18" i="12" s="1"/>
  <c r="U18" i="12" s="1"/>
  <c r="I18" i="12" s="1"/>
  <c r="P23" i="12"/>
  <c r="T23" i="12" s="1"/>
  <c r="U23" i="12" s="1"/>
  <c r="I23" i="12" s="1"/>
  <c r="Q24" i="12"/>
  <c r="T24" i="12" s="1"/>
  <c r="U24" i="12" s="1"/>
  <c r="I24" i="12" s="1"/>
  <c r="R25" i="12"/>
  <c r="T25" i="12" s="1"/>
  <c r="U25" i="12" s="1"/>
  <c r="I25" i="12" s="1"/>
  <c r="P27" i="12"/>
  <c r="T27" i="12" s="1"/>
  <c r="U27" i="12" s="1"/>
  <c r="I27" i="12" s="1"/>
  <c r="Q28" i="12"/>
  <c r="T28" i="12" s="1"/>
  <c r="U28" i="12" s="1"/>
  <c r="I28" i="12" s="1"/>
  <c r="R29" i="12"/>
  <c r="T29" i="12" s="1"/>
  <c r="U29" i="12" s="1"/>
  <c r="I29" i="12" s="1"/>
  <c r="P31" i="12"/>
  <c r="T31" i="12" s="1"/>
  <c r="U31" i="12" s="1"/>
  <c r="I31" i="12" s="1"/>
  <c r="Q32" i="12"/>
  <c r="T32" i="12" s="1"/>
  <c r="U32" i="12" s="1"/>
  <c r="I32" i="12" s="1"/>
  <c r="M34" i="12"/>
  <c r="S34" i="12" s="1"/>
  <c r="O30" i="11"/>
  <c r="N30" i="11"/>
  <c r="M30" i="11"/>
  <c r="O27" i="11"/>
  <c r="N27" i="11"/>
  <c r="M27" i="11"/>
  <c r="E35" i="11"/>
  <c r="O15" i="11"/>
  <c r="N15" i="11"/>
  <c r="M15" i="11"/>
  <c r="J19" i="13" l="1"/>
  <c r="J25" i="13"/>
  <c r="J30" i="13"/>
  <c r="J32" i="13"/>
  <c r="J24" i="13"/>
  <c r="J13" i="13"/>
  <c r="J31" i="13"/>
  <c r="J23" i="13"/>
  <c r="J22" i="13"/>
  <c r="J29" i="13"/>
  <c r="J18" i="13"/>
  <c r="J21" i="13"/>
  <c r="J26" i="13"/>
  <c r="J28" i="13"/>
  <c r="J27" i="13"/>
  <c r="J16" i="13"/>
  <c r="J15" i="13"/>
  <c r="Q34" i="12"/>
  <c r="F34" i="12" s="1"/>
  <c r="T17" i="12"/>
  <c r="U17" i="12" s="1"/>
  <c r="R34" i="12"/>
  <c r="G34" i="12" s="1"/>
  <c r="T14" i="12"/>
  <c r="U14" i="12" s="1"/>
  <c r="I14" i="12" s="1"/>
  <c r="P34" i="12"/>
  <c r="T12" i="12"/>
  <c r="U12" i="12" s="1"/>
  <c r="I12" i="12" s="1"/>
  <c r="AC32" i="10"/>
  <c r="AB32" i="10"/>
  <c r="AA32" i="10"/>
  <c r="AC30" i="10"/>
  <c r="AB30" i="10"/>
  <c r="AA30" i="10"/>
  <c r="AC18" i="10"/>
  <c r="AB18" i="10"/>
  <c r="AA18" i="10"/>
  <c r="AC22" i="10"/>
  <c r="AB22" i="10"/>
  <c r="AA22" i="10"/>
  <c r="AC28" i="10"/>
  <c r="AB28" i="10"/>
  <c r="AA28" i="10"/>
  <c r="AC27" i="10"/>
  <c r="AB27" i="10"/>
  <c r="AA27" i="10"/>
  <c r="AC13" i="10"/>
  <c r="AB13" i="10"/>
  <c r="AA13" i="10"/>
  <c r="AC15" i="10"/>
  <c r="AB15" i="10"/>
  <c r="AA15" i="10"/>
  <c r="AC14" i="10"/>
  <c r="AB14" i="10"/>
  <c r="AA14" i="10"/>
  <c r="AC31" i="10"/>
  <c r="AB31" i="10"/>
  <c r="AA31" i="10"/>
  <c r="AC24" i="10"/>
  <c r="AB24" i="10"/>
  <c r="AA24" i="10"/>
  <c r="AC23" i="10"/>
  <c r="AB23" i="10"/>
  <c r="AA23" i="10"/>
  <c r="AC21" i="10"/>
  <c r="AB21" i="10"/>
  <c r="AA21" i="10"/>
  <c r="AC26" i="10"/>
  <c r="AB26" i="10"/>
  <c r="AA26" i="10"/>
  <c r="J12" i="13" l="1"/>
  <c r="J14" i="13"/>
  <c r="I35" i="12"/>
  <c r="T34" i="12"/>
  <c r="U34" i="12" s="1"/>
  <c r="I34" i="12" s="1"/>
  <c r="E34" i="12"/>
  <c r="AC25" i="10"/>
  <c r="AB25" i="10"/>
  <c r="AA25" i="10"/>
  <c r="AC20" i="10"/>
  <c r="AB20" i="10"/>
  <c r="AA20" i="10"/>
  <c r="AC19" i="10"/>
  <c r="AB19" i="10"/>
  <c r="AA19" i="10"/>
  <c r="AC17" i="10"/>
  <c r="AB17" i="10"/>
  <c r="AA17" i="10"/>
  <c r="AC16" i="10"/>
  <c r="AB16" i="10"/>
  <c r="AA16" i="10"/>
  <c r="AC12" i="10"/>
  <c r="AB12" i="10"/>
  <c r="AA12" i="10"/>
  <c r="J34" i="13" l="1"/>
  <c r="J35" i="13"/>
  <c r="AE12" i="10"/>
  <c r="AD13" i="10"/>
  <c r="AF13" i="10"/>
  <c r="AE14" i="10"/>
  <c r="AD15" i="10"/>
  <c r="AF15" i="10"/>
  <c r="AE16" i="10"/>
  <c r="AD17" i="10"/>
  <c r="AF17" i="10"/>
  <c r="AE18" i="10"/>
  <c r="AD19" i="10"/>
  <c r="AF19" i="10"/>
  <c r="AE20" i="10"/>
  <c r="AD21" i="10"/>
  <c r="AF21" i="10"/>
  <c r="AE22" i="10"/>
  <c r="AD25" i="10"/>
  <c r="AF25" i="10"/>
  <c r="AE26" i="10"/>
  <c r="AD27" i="10"/>
  <c r="AF27" i="10"/>
  <c r="AE28" i="10"/>
  <c r="AD29" i="10"/>
  <c r="AF29" i="10"/>
  <c r="AE30" i="10"/>
  <c r="AD31" i="10"/>
  <c r="AF31" i="10"/>
  <c r="AE32" i="10"/>
  <c r="AF32" i="10"/>
  <c r="AD32" i="10"/>
  <c r="AE31" i="10"/>
  <c r="AF30" i="10"/>
  <c r="AD30" i="10"/>
  <c r="AE29" i="10"/>
  <c r="AF28" i="10"/>
  <c r="AD28" i="10"/>
  <c r="AE27" i="10"/>
  <c r="AF26" i="10"/>
  <c r="AD26" i="10"/>
  <c r="AE25" i="10"/>
  <c r="AF24" i="10"/>
  <c r="AE24" i="10"/>
  <c r="AD24" i="10"/>
  <c r="AF23" i="10"/>
  <c r="AE23" i="10"/>
  <c r="AD23" i="10"/>
  <c r="AF22" i="10"/>
  <c r="AD22" i="10"/>
  <c r="AE21" i="10"/>
  <c r="AF20" i="10"/>
  <c r="AD20" i="10"/>
  <c r="AE19" i="10"/>
  <c r="AF18" i="10"/>
  <c r="AD18" i="10"/>
  <c r="AE17" i="10"/>
  <c r="AF16" i="10"/>
  <c r="AD16" i="10"/>
  <c r="AE15" i="10"/>
  <c r="AF14" i="10"/>
  <c r="AD14" i="10"/>
  <c r="AE13" i="10"/>
  <c r="AF12" i="10"/>
  <c r="AD12" i="10"/>
  <c r="AG31" i="10"/>
  <c r="AG27" i="10"/>
  <c r="AG24" i="10"/>
  <c r="AG23" i="10"/>
  <c r="AH23" i="10" l="1"/>
  <c r="AI23" i="10" s="1"/>
  <c r="AH24" i="10"/>
  <c r="AI24" i="10" s="1"/>
  <c r="AH19" i="10"/>
  <c r="AH17" i="10"/>
  <c r="AH15" i="10"/>
  <c r="AG25" i="10"/>
  <c r="AG29" i="10"/>
  <c r="AH22" i="10"/>
  <c r="AH26" i="10"/>
  <c r="AH28" i="10"/>
  <c r="AH30" i="10"/>
  <c r="AH32" i="10"/>
  <c r="AH13" i="10"/>
  <c r="AB34" i="10"/>
  <c r="AH21" i="10"/>
  <c r="AH27" i="10"/>
  <c r="AI27" i="10" s="1"/>
  <c r="AH31" i="10"/>
  <c r="AI31" i="10" s="1"/>
  <c r="AA34" i="10"/>
  <c r="AC34" i="10"/>
  <c r="AF34" i="10"/>
  <c r="AG12" i="10"/>
  <c r="AG13" i="10"/>
  <c r="AH14" i="10"/>
  <c r="AG14" i="10"/>
  <c r="AG15" i="10"/>
  <c r="AH16" i="10"/>
  <c r="AG16" i="10"/>
  <c r="AG17" i="10"/>
  <c r="AI17" i="10" s="1"/>
  <c r="AH18" i="10"/>
  <c r="AG18" i="10"/>
  <c r="AG19" i="10"/>
  <c r="AH20" i="10"/>
  <c r="AG20" i="10"/>
  <c r="AG21" i="10"/>
  <c r="AH25" i="10"/>
  <c r="AH29" i="10"/>
  <c r="AG22" i="10"/>
  <c r="AG26" i="10"/>
  <c r="AG28" i="10"/>
  <c r="AG30" i="10"/>
  <c r="AG32" i="10"/>
  <c r="AI19" i="10" l="1"/>
  <c r="AI15" i="10"/>
  <c r="AI32" i="10"/>
  <c r="AI28" i="10"/>
  <c r="AI22" i="10"/>
  <c r="AI25" i="10"/>
  <c r="AI30" i="10"/>
  <c r="AI26" i="10"/>
  <c r="Z34" i="10"/>
  <c r="AI18" i="10"/>
  <c r="AI14" i="10"/>
  <c r="AI21" i="10"/>
  <c r="AI13" i="10"/>
  <c r="AG34" i="10"/>
  <c r="AI20" i="10"/>
  <c r="AI16" i="10"/>
  <c r="AH12" i="10"/>
  <c r="AI12" i="10" s="1"/>
  <c r="AD34" i="10"/>
  <c r="X34" i="10" s="1"/>
  <c r="AE34" i="10"/>
  <c r="Y34" i="10" s="1"/>
  <c r="AI35" i="10" l="1"/>
  <c r="AH34" i="10"/>
  <c r="AI34" i="10" s="1"/>
  <c r="Z35" i="10" l="1"/>
  <c r="Y35" i="10"/>
  <c r="X35" i="10"/>
  <c r="O32" i="11" l="1"/>
  <c r="N32" i="11"/>
  <c r="M32" i="11"/>
  <c r="O18" i="11"/>
  <c r="N18" i="11"/>
  <c r="M18" i="11"/>
  <c r="N22" i="11" l="1"/>
  <c r="O22" i="11"/>
  <c r="M22" i="11"/>
  <c r="N28" i="11"/>
  <c r="O28" i="11"/>
  <c r="M28" i="11"/>
  <c r="O26" i="11"/>
  <c r="N26" i="11"/>
  <c r="M26" i="11"/>
  <c r="O14" i="11" l="1"/>
  <c r="N14" i="11"/>
  <c r="M14" i="11"/>
  <c r="O13" i="11"/>
  <c r="N13" i="11"/>
  <c r="M13" i="11"/>
  <c r="O29" i="11"/>
  <c r="N29" i="11"/>
  <c r="M29" i="11"/>
  <c r="M24" i="11" l="1"/>
  <c r="O24" i="11"/>
  <c r="N24" i="11"/>
  <c r="Q24" i="11" s="1"/>
  <c r="O23" i="11"/>
  <c r="R23" i="11" s="1"/>
  <c r="N23" i="11"/>
  <c r="M23" i="11"/>
  <c r="P23" i="11" s="1"/>
  <c r="O31" i="11"/>
  <c r="N31" i="11"/>
  <c r="M31" i="11"/>
  <c r="P31" i="11" s="1"/>
  <c r="O25" i="11"/>
  <c r="R25" i="11" s="1"/>
  <c r="N25" i="11"/>
  <c r="M25" i="11"/>
  <c r="P25" i="11" s="1"/>
  <c r="O21" i="11"/>
  <c r="R21" i="11" s="1"/>
  <c r="N21" i="11"/>
  <c r="M21" i="11"/>
  <c r="P21" i="11" s="1"/>
  <c r="O19" i="11"/>
  <c r="R19" i="11" s="1"/>
  <c r="N19" i="11"/>
  <c r="Q19" i="11" s="1"/>
  <c r="M19" i="11"/>
  <c r="P19" i="11" s="1"/>
  <c r="O17" i="11"/>
  <c r="R17" i="11" s="1"/>
  <c r="N17" i="11"/>
  <c r="Q17" i="11" s="1"/>
  <c r="M17" i="11"/>
  <c r="P17" i="11" s="1"/>
  <c r="O16" i="11"/>
  <c r="N16" i="11"/>
  <c r="M16" i="11"/>
  <c r="O12" i="11"/>
  <c r="N12" i="11"/>
  <c r="M12" i="11"/>
  <c r="P12" i="11" s="1"/>
  <c r="G35" i="11"/>
  <c r="F35" i="11"/>
  <c r="Q32" i="11"/>
  <c r="R32" i="11"/>
  <c r="P32" i="11"/>
  <c r="R31" i="11"/>
  <c r="Q31" i="11"/>
  <c r="Q30" i="11"/>
  <c r="R30" i="11"/>
  <c r="P30" i="11"/>
  <c r="R29" i="11"/>
  <c r="P29" i="11"/>
  <c r="Q29" i="11"/>
  <c r="Q28" i="11"/>
  <c r="R28" i="11"/>
  <c r="P28" i="11"/>
  <c r="R27" i="11"/>
  <c r="P27" i="11"/>
  <c r="Q27" i="11"/>
  <c r="Q26" i="11"/>
  <c r="R26" i="11"/>
  <c r="P26" i="11"/>
  <c r="Q25" i="11"/>
  <c r="R24" i="11"/>
  <c r="P24" i="11"/>
  <c r="Q23" i="11"/>
  <c r="Q22" i="11"/>
  <c r="R22" i="11"/>
  <c r="P22" i="11"/>
  <c r="Q21" i="11"/>
  <c r="Q20" i="11"/>
  <c r="R20" i="11"/>
  <c r="P20" i="11"/>
  <c r="Q18" i="11"/>
  <c r="R18" i="11"/>
  <c r="P18" i="11"/>
  <c r="Q16" i="11"/>
  <c r="R16" i="11"/>
  <c r="P16" i="11"/>
  <c r="R15" i="11"/>
  <c r="P15" i="11"/>
  <c r="Q15" i="11"/>
  <c r="R14" i="11"/>
  <c r="P14" i="11"/>
  <c r="Q14" i="11"/>
  <c r="S14" i="11"/>
  <c r="Q13" i="11"/>
  <c r="R13" i="11"/>
  <c r="S13" i="11"/>
  <c r="R12" i="11"/>
  <c r="O32" i="10"/>
  <c r="R32" i="10" s="1"/>
  <c r="N32" i="10"/>
  <c r="Q32" i="10" s="1"/>
  <c r="M32" i="10"/>
  <c r="P32" i="10" s="1"/>
  <c r="O31" i="10"/>
  <c r="N31" i="10"/>
  <c r="Q31" i="10" s="1"/>
  <c r="M31" i="10"/>
  <c r="O30" i="10"/>
  <c r="R30" i="10" s="1"/>
  <c r="N30" i="10"/>
  <c r="M30" i="10"/>
  <c r="P30" i="10" s="1"/>
  <c r="O29" i="10"/>
  <c r="R29" i="10" s="1"/>
  <c r="N29" i="10"/>
  <c r="Q29" i="10" s="1"/>
  <c r="M29" i="10"/>
  <c r="P29" i="10" s="1"/>
  <c r="O28" i="10"/>
  <c r="R28" i="10" s="1"/>
  <c r="N28" i="10"/>
  <c r="Q28" i="10" s="1"/>
  <c r="M28" i="10"/>
  <c r="P28" i="10" s="1"/>
  <c r="O27" i="10"/>
  <c r="R27" i="10" s="1"/>
  <c r="N27" i="10"/>
  <c r="Q27" i="10" s="1"/>
  <c r="M27" i="10"/>
  <c r="P27" i="10" s="1"/>
  <c r="O26" i="10"/>
  <c r="R26" i="10" s="1"/>
  <c r="N26" i="10"/>
  <c r="Q26" i="10" s="1"/>
  <c r="M26" i="10"/>
  <c r="O25" i="10"/>
  <c r="N25" i="10"/>
  <c r="Q25" i="10" s="1"/>
  <c r="M25" i="10"/>
  <c r="O22" i="10"/>
  <c r="R22" i="10" s="1"/>
  <c r="N22" i="10"/>
  <c r="M22" i="10"/>
  <c r="O21" i="10"/>
  <c r="R21" i="10" s="1"/>
  <c r="N21" i="10"/>
  <c r="Q21" i="10" s="1"/>
  <c r="M21" i="10"/>
  <c r="P21" i="10" s="1"/>
  <c r="O20" i="10"/>
  <c r="R20" i="10" s="1"/>
  <c r="N20" i="10"/>
  <c r="Q20" i="10" s="1"/>
  <c r="M20" i="10"/>
  <c r="P20" i="10" s="1"/>
  <c r="O19" i="10"/>
  <c r="R19" i="10" s="1"/>
  <c r="N19" i="10"/>
  <c r="Q19" i="10" s="1"/>
  <c r="M19" i="10"/>
  <c r="P19" i="10" s="1"/>
  <c r="O18" i="10"/>
  <c r="R18" i="10" s="1"/>
  <c r="N18" i="10"/>
  <c r="Q18" i="10" s="1"/>
  <c r="M18" i="10"/>
  <c r="P18" i="10" s="1"/>
  <c r="O17" i="10"/>
  <c r="R17" i="10" s="1"/>
  <c r="N17" i="10"/>
  <c r="Q17" i="10" s="1"/>
  <c r="M17" i="10"/>
  <c r="P17" i="10" s="1"/>
  <c r="O16" i="10"/>
  <c r="R16" i="10" s="1"/>
  <c r="N16" i="10"/>
  <c r="M16" i="10"/>
  <c r="O15" i="10"/>
  <c r="N15" i="10"/>
  <c r="Q15" i="10" s="1"/>
  <c r="M15" i="10"/>
  <c r="P15" i="10" s="1"/>
  <c r="O14" i="10"/>
  <c r="R14" i="10" s="1"/>
  <c r="N14" i="10"/>
  <c r="M14" i="10"/>
  <c r="O13" i="10"/>
  <c r="N13" i="10"/>
  <c r="M13" i="10"/>
  <c r="P13" i="10" s="1"/>
  <c r="O12" i="10"/>
  <c r="N12" i="10"/>
  <c r="M12" i="10"/>
  <c r="P12" i="10" s="1"/>
  <c r="G35" i="10"/>
  <c r="F35" i="10"/>
  <c r="E35" i="10"/>
  <c r="R31" i="10"/>
  <c r="P31" i="10"/>
  <c r="Q30" i="10"/>
  <c r="P26" i="10"/>
  <c r="R25" i="10"/>
  <c r="P25" i="10"/>
  <c r="S24" i="10"/>
  <c r="R24" i="10"/>
  <c r="Q24" i="10"/>
  <c r="P24" i="10"/>
  <c r="S23" i="10"/>
  <c r="R23" i="10"/>
  <c r="Q23" i="10"/>
  <c r="P23" i="10"/>
  <c r="Q22" i="10"/>
  <c r="P22" i="10"/>
  <c r="Q16" i="10"/>
  <c r="P16" i="10"/>
  <c r="R15" i="10"/>
  <c r="Q14" i="10"/>
  <c r="P14" i="10"/>
  <c r="R13" i="10"/>
  <c r="O32" i="9"/>
  <c r="N32" i="9"/>
  <c r="Q32" i="9" s="1"/>
  <c r="M32" i="9"/>
  <c r="P32" i="9" s="1"/>
  <c r="O31" i="9"/>
  <c r="R31" i="9" s="1"/>
  <c r="N31" i="9"/>
  <c r="Q31" i="9" s="1"/>
  <c r="M31" i="9"/>
  <c r="P31" i="9" s="1"/>
  <c r="O30" i="9"/>
  <c r="N30" i="9"/>
  <c r="Q30" i="9" s="1"/>
  <c r="M30" i="9"/>
  <c r="P30" i="9" s="1"/>
  <c r="O29" i="9"/>
  <c r="R29" i="9" s="1"/>
  <c r="N29" i="9"/>
  <c r="Q29" i="9" s="1"/>
  <c r="M29" i="9"/>
  <c r="P29" i="9" s="1"/>
  <c r="O28" i="9"/>
  <c r="R28" i="9" s="1"/>
  <c r="N28" i="9"/>
  <c r="Q28" i="9" s="1"/>
  <c r="M28" i="9"/>
  <c r="P28" i="9" s="1"/>
  <c r="O27" i="9"/>
  <c r="R27" i="9" s="1"/>
  <c r="N27" i="9"/>
  <c r="Q27" i="9" s="1"/>
  <c r="M27" i="9"/>
  <c r="P27" i="9" s="1"/>
  <c r="O26" i="9"/>
  <c r="R26" i="9" s="1"/>
  <c r="N26" i="9"/>
  <c r="Q26" i="9" s="1"/>
  <c r="M26" i="9"/>
  <c r="P26" i="9" s="1"/>
  <c r="O25" i="9"/>
  <c r="R25" i="9" s="1"/>
  <c r="N25" i="9"/>
  <c r="M25" i="9"/>
  <c r="O22" i="9"/>
  <c r="N22" i="9"/>
  <c r="Q22" i="9" s="1"/>
  <c r="M22" i="9"/>
  <c r="P22" i="9" s="1"/>
  <c r="O21" i="9"/>
  <c r="R21" i="9" s="1"/>
  <c r="N21" i="9"/>
  <c r="Q21" i="9" s="1"/>
  <c r="M21" i="9"/>
  <c r="O20" i="9"/>
  <c r="N20" i="9"/>
  <c r="Q20" i="9" s="1"/>
  <c r="M20" i="9"/>
  <c r="P20" i="9" s="1"/>
  <c r="O19" i="9"/>
  <c r="R19" i="9" s="1"/>
  <c r="N19" i="9"/>
  <c r="M19" i="9"/>
  <c r="P19" i="9" s="1"/>
  <c r="O18" i="9"/>
  <c r="R18" i="9" s="1"/>
  <c r="N18" i="9"/>
  <c r="Q18" i="9" s="1"/>
  <c r="M18" i="9"/>
  <c r="P18" i="9" s="1"/>
  <c r="O17" i="9"/>
  <c r="R17" i="9" s="1"/>
  <c r="N17" i="9"/>
  <c r="Q17" i="9" s="1"/>
  <c r="M17" i="9"/>
  <c r="O16" i="9"/>
  <c r="N16" i="9"/>
  <c r="Q16" i="9" s="1"/>
  <c r="M16" i="9"/>
  <c r="P16" i="9" s="1"/>
  <c r="O15" i="9"/>
  <c r="R15" i="9" s="1"/>
  <c r="N15" i="9"/>
  <c r="Q15" i="9" s="1"/>
  <c r="M15" i="9"/>
  <c r="O14" i="9"/>
  <c r="R14" i="9" s="1"/>
  <c r="N14" i="9"/>
  <c r="Q14" i="9" s="1"/>
  <c r="M14" i="9"/>
  <c r="O13" i="9"/>
  <c r="N13" i="9"/>
  <c r="Q13" i="9" s="1"/>
  <c r="M13" i="9"/>
  <c r="O12" i="9"/>
  <c r="N12" i="9"/>
  <c r="M12" i="9"/>
  <c r="G35" i="9"/>
  <c r="F35" i="9"/>
  <c r="E35" i="9"/>
  <c r="R32" i="9"/>
  <c r="R30" i="9"/>
  <c r="Q25" i="9"/>
  <c r="P25" i="9"/>
  <c r="Q24" i="9"/>
  <c r="R24" i="9"/>
  <c r="P24" i="9"/>
  <c r="Q23" i="9"/>
  <c r="R23" i="9"/>
  <c r="P23" i="9"/>
  <c r="R22" i="9"/>
  <c r="P21" i="9"/>
  <c r="R20" i="9"/>
  <c r="Q19" i="9"/>
  <c r="P17" i="9"/>
  <c r="R16" i="9"/>
  <c r="P15" i="9"/>
  <c r="M12" i="8"/>
  <c r="N12" i="8"/>
  <c r="O12" i="8"/>
  <c r="R12" i="8" s="1"/>
  <c r="M13" i="8"/>
  <c r="P13" i="8" s="1"/>
  <c r="N13" i="8"/>
  <c r="Q13" i="8" s="1"/>
  <c r="O13" i="8"/>
  <c r="R13" i="8" s="1"/>
  <c r="M14" i="8"/>
  <c r="P14" i="8" s="1"/>
  <c r="N14" i="8"/>
  <c r="Q14" i="8" s="1"/>
  <c r="O14" i="8"/>
  <c r="R14" i="8" s="1"/>
  <c r="M15" i="8"/>
  <c r="P15" i="8" s="1"/>
  <c r="N15" i="8"/>
  <c r="Q15" i="8" s="1"/>
  <c r="O15" i="8"/>
  <c r="M16" i="8"/>
  <c r="N16" i="8"/>
  <c r="O16" i="8"/>
  <c r="R16" i="8" s="1"/>
  <c r="M17" i="8"/>
  <c r="N17" i="8"/>
  <c r="O17" i="8"/>
  <c r="M18" i="8"/>
  <c r="P18" i="8" s="1"/>
  <c r="N18" i="8"/>
  <c r="Q18" i="8" s="1"/>
  <c r="O18" i="8"/>
  <c r="R18" i="8" s="1"/>
  <c r="M19" i="8"/>
  <c r="P19" i="8" s="1"/>
  <c r="N19" i="8"/>
  <c r="Q19" i="8" s="1"/>
  <c r="O19" i="8"/>
  <c r="R19" i="8" s="1"/>
  <c r="M20" i="8"/>
  <c r="P20" i="8" s="1"/>
  <c r="N20" i="8"/>
  <c r="Q20" i="8" s="1"/>
  <c r="O20" i="8"/>
  <c r="R20" i="8" s="1"/>
  <c r="M21" i="8"/>
  <c r="P21" i="8" s="1"/>
  <c r="N21" i="8"/>
  <c r="Q21" i="8" s="1"/>
  <c r="O21" i="8"/>
  <c r="R21" i="8" s="1"/>
  <c r="M22" i="8"/>
  <c r="P22" i="8" s="1"/>
  <c r="N22" i="8"/>
  <c r="O22" i="8"/>
  <c r="R22" i="8" s="1"/>
  <c r="M23" i="8"/>
  <c r="N23" i="8"/>
  <c r="O23" i="8"/>
  <c r="R23" i="8" s="1"/>
  <c r="M24" i="8"/>
  <c r="P24" i="8" s="1"/>
  <c r="N24" i="8"/>
  <c r="O24" i="8"/>
  <c r="R24" i="8" s="1"/>
  <c r="M25" i="8"/>
  <c r="P25" i="8" s="1"/>
  <c r="N25" i="8"/>
  <c r="Q25" i="8" s="1"/>
  <c r="O25" i="8"/>
  <c r="M26" i="8"/>
  <c r="N26" i="8"/>
  <c r="O26" i="8"/>
  <c r="R26" i="8" s="1"/>
  <c r="M27" i="8"/>
  <c r="N27" i="8"/>
  <c r="Q27" i="8" s="1"/>
  <c r="O27" i="8"/>
  <c r="R27" i="8" s="1"/>
  <c r="M28" i="8"/>
  <c r="P28" i="8" s="1"/>
  <c r="N28" i="8"/>
  <c r="Q28" i="8" s="1"/>
  <c r="O28" i="8"/>
  <c r="R28" i="8" s="1"/>
  <c r="M29" i="8"/>
  <c r="N29" i="8"/>
  <c r="O29" i="8"/>
  <c r="R29" i="8" s="1"/>
  <c r="M30" i="8"/>
  <c r="P30" i="8" s="1"/>
  <c r="N30" i="8"/>
  <c r="O30" i="8"/>
  <c r="R30" i="8" s="1"/>
  <c r="M31" i="8"/>
  <c r="P31" i="8" s="1"/>
  <c r="N31" i="8"/>
  <c r="Q31" i="8" s="1"/>
  <c r="O31" i="8"/>
  <c r="M32" i="8"/>
  <c r="N32" i="8"/>
  <c r="O32" i="8"/>
  <c r="R32" i="8" s="1"/>
  <c r="Q32" i="8"/>
  <c r="R31" i="8"/>
  <c r="Q30" i="8"/>
  <c r="Q26" i="8"/>
  <c r="R25" i="8"/>
  <c r="Q24" i="8"/>
  <c r="Q22" i="8"/>
  <c r="R17" i="8"/>
  <c r="Q16" i="8"/>
  <c r="R15" i="8"/>
  <c r="G35" i="8"/>
  <c r="F35" i="8"/>
  <c r="E35" i="8"/>
  <c r="P32" i="8"/>
  <c r="Q29" i="8"/>
  <c r="P29" i="8"/>
  <c r="P27" i="8"/>
  <c r="P26" i="8"/>
  <c r="Q23" i="8"/>
  <c r="P23" i="8"/>
  <c r="Q17" i="8"/>
  <c r="P17" i="8"/>
  <c r="P16" i="8"/>
  <c r="P12" i="8"/>
  <c r="G35" i="6"/>
  <c r="O32" i="7"/>
  <c r="N32" i="7"/>
  <c r="M32" i="7"/>
  <c r="P32" i="7" s="1"/>
  <c r="O31" i="7"/>
  <c r="R31" i="7" s="1"/>
  <c r="N31" i="7"/>
  <c r="Q31" i="7" s="1"/>
  <c r="M31" i="7"/>
  <c r="P31" i="7" s="1"/>
  <c r="O30" i="7"/>
  <c r="R30" i="7" s="1"/>
  <c r="N30" i="7"/>
  <c r="Q30" i="7" s="1"/>
  <c r="M30" i="7"/>
  <c r="O29" i="7"/>
  <c r="R29" i="7" s="1"/>
  <c r="N29" i="7"/>
  <c r="M29" i="7"/>
  <c r="P29" i="7" s="1"/>
  <c r="O28" i="7"/>
  <c r="R28" i="7" s="1"/>
  <c r="N28" i="7"/>
  <c r="M28" i="7"/>
  <c r="O27" i="7"/>
  <c r="R27" i="7" s="1"/>
  <c r="N27" i="7"/>
  <c r="M27" i="7"/>
  <c r="P27" i="7" s="1"/>
  <c r="O26" i="7"/>
  <c r="N26" i="7"/>
  <c r="Q26" i="7" s="1"/>
  <c r="M26" i="7"/>
  <c r="P26" i="7" s="1"/>
  <c r="O25" i="7"/>
  <c r="R25" i="7" s="1"/>
  <c r="N25" i="7"/>
  <c r="Q25" i="7" s="1"/>
  <c r="M25" i="7"/>
  <c r="P25" i="7" s="1"/>
  <c r="O24" i="7"/>
  <c r="R24" i="7" s="1"/>
  <c r="N24" i="7"/>
  <c r="Q24" i="7" s="1"/>
  <c r="M24" i="7"/>
  <c r="P24" i="7" s="1"/>
  <c r="O23" i="7"/>
  <c r="R23" i="7" s="1"/>
  <c r="N23" i="7"/>
  <c r="M23" i="7"/>
  <c r="P23" i="7" s="1"/>
  <c r="O22" i="7"/>
  <c r="N22" i="7"/>
  <c r="M22" i="7"/>
  <c r="P22" i="7" s="1"/>
  <c r="O21" i="7"/>
  <c r="R21" i="7" s="1"/>
  <c r="N21" i="7"/>
  <c r="M21" i="7"/>
  <c r="P21" i="7" s="1"/>
  <c r="O20" i="7"/>
  <c r="R20" i="7" s="1"/>
  <c r="N20" i="7"/>
  <c r="Q20" i="7" s="1"/>
  <c r="M20" i="7"/>
  <c r="P20" i="7" s="1"/>
  <c r="O19" i="7"/>
  <c r="R19" i="7" s="1"/>
  <c r="N19" i="7"/>
  <c r="Q19" i="7" s="1"/>
  <c r="M19" i="7"/>
  <c r="P19" i="7" s="1"/>
  <c r="O18" i="7"/>
  <c r="R18" i="7" s="1"/>
  <c r="N18" i="7"/>
  <c r="Q18" i="7" s="1"/>
  <c r="M18" i="7"/>
  <c r="P18" i="7" s="1"/>
  <c r="O17" i="7"/>
  <c r="R17" i="7" s="1"/>
  <c r="N17" i="7"/>
  <c r="Q17" i="7" s="1"/>
  <c r="M17" i="7"/>
  <c r="P17" i="7" s="1"/>
  <c r="O16" i="7"/>
  <c r="N16" i="7"/>
  <c r="M16" i="7"/>
  <c r="O15" i="7"/>
  <c r="R15" i="7" s="1"/>
  <c r="N15" i="7"/>
  <c r="M15" i="7"/>
  <c r="P15" i="7" s="1"/>
  <c r="O14" i="7"/>
  <c r="N14" i="7"/>
  <c r="M14" i="7"/>
  <c r="O13" i="7"/>
  <c r="R13" i="7" s="1"/>
  <c r="N13" i="7"/>
  <c r="M13" i="7"/>
  <c r="O12" i="7"/>
  <c r="N12" i="7"/>
  <c r="Q12" i="7" s="1"/>
  <c r="M12" i="7"/>
  <c r="G35" i="7"/>
  <c r="F35" i="7"/>
  <c r="E35" i="7"/>
  <c r="Q32" i="7"/>
  <c r="R32" i="7"/>
  <c r="P30" i="7"/>
  <c r="Q29" i="7"/>
  <c r="Q28" i="7"/>
  <c r="P28" i="7"/>
  <c r="Q27" i="7"/>
  <c r="R26" i="7"/>
  <c r="Q23" i="7"/>
  <c r="Q22" i="7"/>
  <c r="R22" i="7"/>
  <c r="Q21" i="7"/>
  <c r="Q16" i="7"/>
  <c r="R16" i="7"/>
  <c r="P16" i="7"/>
  <c r="Q15" i="7"/>
  <c r="Q14" i="7"/>
  <c r="R14" i="7"/>
  <c r="Q13" i="7"/>
  <c r="N34" i="9" l="1"/>
  <c r="O34" i="9"/>
  <c r="R13" i="9"/>
  <c r="N34" i="10"/>
  <c r="M34" i="8"/>
  <c r="M34" i="7"/>
  <c r="Q12" i="9"/>
  <c r="N34" i="8"/>
  <c r="S12" i="11"/>
  <c r="O34" i="8"/>
  <c r="T23" i="9"/>
  <c r="Q13" i="10"/>
  <c r="O34" i="7"/>
  <c r="Q34" i="7"/>
  <c r="S13" i="7"/>
  <c r="S13" i="9"/>
  <c r="T30" i="11"/>
  <c r="T22" i="11"/>
  <c r="T26" i="11"/>
  <c r="O34" i="11"/>
  <c r="N34" i="11"/>
  <c r="T18" i="11"/>
  <c r="R34" i="11"/>
  <c r="T14" i="11"/>
  <c r="U14" i="11" s="1"/>
  <c r="I14" i="11" s="1"/>
  <c r="T17" i="11"/>
  <c r="T21" i="11"/>
  <c r="T25" i="11"/>
  <c r="T29" i="11"/>
  <c r="T15" i="11"/>
  <c r="T16" i="11"/>
  <c r="T19" i="11"/>
  <c r="T20" i="11"/>
  <c r="T23" i="11"/>
  <c r="T24" i="11"/>
  <c r="T27" i="11"/>
  <c r="T28" i="11"/>
  <c r="T31" i="11"/>
  <c r="T32" i="11"/>
  <c r="S16" i="11"/>
  <c r="S18" i="11"/>
  <c r="S20" i="11"/>
  <c r="S22" i="11"/>
  <c r="S24" i="11"/>
  <c r="S26" i="11"/>
  <c r="S28" i="11"/>
  <c r="S30" i="11"/>
  <c r="S32" i="11"/>
  <c r="M34" i="11"/>
  <c r="Q12" i="11"/>
  <c r="Q34" i="11" s="1"/>
  <c r="P13" i="11"/>
  <c r="T13" i="11" s="1"/>
  <c r="U13" i="11" s="1"/>
  <c r="I13" i="11" s="1"/>
  <c r="S15" i="11"/>
  <c r="S17" i="11"/>
  <c r="S19" i="11"/>
  <c r="S21" i="11"/>
  <c r="S23" i="11"/>
  <c r="S25" i="11"/>
  <c r="S27" i="11"/>
  <c r="S29" i="11"/>
  <c r="S31" i="11"/>
  <c r="T13" i="10"/>
  <c r="T14" i="10"/>
  <c r="T15" i="10"/>
  <c r="T16" i="10"/>
  <c r="T17" i="10"/>
  <c r="T18" i="10"/>
  <c r="T19" i="10"/>
  <c r="T20" i="10"/>
  <c r="T21" i="10"/>
  <c r="T22" i="10"/>
  <c r="T23" i="10"/>
  <c r="U23" i="10" s="1"/>
  <c r="I23" i="10" s="1"/>
  <c r="J23" i="10" s="1"/>
  <c r="T24" i="10"/>
  <c r="U24" i="10" s="1"/>
  <c r="I24" i="10" s="1"/>
  <c r="J24" i="10" s="1"/>
  <c r="S12" i="10"/>
  <c r="S13" i="10"/>
  <c r="S14" i="10"/>
  <c r="S15" i="10"/>
  <c r="S16" i="10"/>
  <c r="S17" i="10"/>
  <c r="S18" i="10"/>
  <c r="S19" i="10"/>
  <c r="S20" i="10"/>
  <c r="S21" i="10"/>
  <c r="S22" i="10"/>
  <c r="P34" i="10"/>
  <c r="M34" i="10"/>
  <c r="O34" i="10"/>
  <c r="R12" i="10"/>
  <c r="R34" i="10" s="1"/>
  <c r="Q12" i="10"/>
  <c r="T25" i="10"/>
  <c r="S25" i="10"/>
  <c r="T26" i="10"/>
  <c r="S26" i="10"/>
  <c r="T27" i="10"/>
  <c r="S27" i="10"/>
  <c r="T28" i="10"/>
  <c r="S28" i="10"/>
  <c r="T29" i="10"/>
  <c r="S29" i="10"/>
  <c r="T30" i="10"/>
  <c r="S30" i="10"/>
  <c r="T31" i="10"/>
  <c r="S31" i="10"/>
  <c r="T32" i="10"/>
  <c r="S32" i="10"/>
  <c r="Q34" i="9"/>
  <c r="F34" i="9" s="1"/>
  <c r="T15" i="9"/>
  <c r="T17" i="9"/>
  <c r="T19" i="9"/>
  <c r="T21" i="9"/>
  <c r="T25" i="9"/>
  <c r="T27" i="9"/>
  <c r="T29" i="9"/>
  <c r="T31" i="9"/>
  <c r="M34" i="9"/>
  <c r="S34" i="9" s="1"/>
  <c r="T16" i="9"/>
  <c r="T18" i="9"/>
  <c r="T20" i="9"/>
  <c r="T22" i="9"/>
  <c r="T24" i="9"/>
  <c r="T26" i="9"/>
  <c r="T28" i="9"/>
  <c r="T30" i="9"/>
  <c r="T32" i="9"/>
  <c r="P12" i="9"/>
  <c r="R12" i="9"/>
  <c r="R34" i="9" s="1"/>
  <c r="G34" i="9" s="1"/>
  <c r="P13" i="9"/>
  <c r="T13" i="9" s="1"/>
  <c r="S12" i="9"/>
  <c r="P14" i="9"/>
  <c r="T14" i="9" s="1"/>
  <c r="S14" i="9"/>
  <c r="S15" i="9"/>
  <c r="S16" i="9"/>
  <c r="S17" i="9"/>
  <c r="U17" i="9" s="1"/>
  <c r="I17" i="9" s="1"/>
  <c r="S18" i="9"/>
  <c r="S19" i="9"/>
  <c r="S20" i="9"/>
  <c r="S21" i="9"/>
  <c r="S22" i="9"/>
  <c r="S23" i="9"/>
  <c r="U23" i="9" s="1"/>
  <c r="I23" i="9" s="1"/>
  <c r="J23" i="9" s="1"/>
  <c r="S24" i="9"/>
  <c r="U24" i="9" s="1"/>
  <c r="I24" i="9" s="1"/>
  <c r="J24" i="9" s="1"/>
  <c r="S25" i="9"/>
  <c r="U25" i="9" s="1"/>
  <c r="I25" i="9" s="1"/>
  <c r="S26" i="9"/>
  <c r="U26" i="9" s="1"/>
  <c r="I26" i="9" s="1"/>
  <c r="S27" i="9"/>
  <c r="S28" i="9"/>
  <c r="S29" i="9"/>
  <c r="S30" i="9"/>
  <c r="U30" i="9" s="1"/>
  <c r="I30" i="9" s="1"/>
  <c r="S31" i="9"/>
  <c r="S32" i="9"/>
  <c r="U32" i="9" s="1"/>
  <c r="I32" i="9" s="1"/>
  <c r="P34" i="8"/>
  <c r="S13" i="8"/>
  <c r="R34" i="8"/>
  <c r="T13" i="8"/>
  <c r="U13" i="8" s="1"/>
  <c r="I13" i="8" s="1"/>
  <c r="S34" i="8"/>
  <c r="Q12" i="8"/>
  <c r="Q34" i="8" s="1"/>
  <c r="F34" i="8" s="1"/>
  <c r="S12" i="8"/>
  <c r="T14" i="8"/>
  <c r="S14" i="8"/>
  <c r="T15" i="8"/>
  <c r="S15" i="8"/>
  <c r="T16" i="8"/>
  <c r="S16" i="8"/>
  <c r="T17" i="8"/>
  <c r="S17" i="8"/>
  <c r="T18" i="8"/>
  <c r="S18" i="8"/>
  <c r="T19" i="8"/>
  <c r="S19" i="8"/>
  <c r="T20" i="8"/>
  <c r="S20" i="8"/>
  <c r="T21" i="8"/>
  <c r="U21" i="8" s="1"/>
  <c r="I21" i="8" s="1"/>
  <c r="S21" i="8"/>
  <c r="T22" i="8"/>
  <c r="S22" i="8"/>
  <c r="T23" i="8"/>
  <c r="S23" i="8"/>
  <c r="T24" i="8"/>
  <c r="S24" i="8"/>
  <c r="T25" i="8"/>
  <c r="S25" i="8"/>
  <c r="T26" i="8"/>
  <c r="S26" i="8"/>
  <c r="T27" i="8"/>
  <c r="U27" i="8" s="1"/>
  <c r="I27" i="8" s="1"/>
  <c r="S27" i="8"/>
  <c r="T28" i="8"/>
  <c r="S28" i="8"/>
  <c r="T29" i="8"/>
  <c r="S29" i="8"/>
  <c r="T30" i="8"/>
  <c r="S30" i="8"/>
  <c r="T31" i="8"/>
  <c r="S31" i="8"/>
  <c r="T32" i="8"/>
  <c r="S32" i="8"/>
  <c r="N3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P12" i="7"/>
  <c r="R12" i="7"/>
  <c r="R34" i="7" s="1"/>
  <c r="G34" i="7" s="1"/>
  <c r="P13" i="7"/>
  <c r="T13" i="7" s="1"/>
  <c r="S12" i="7"/>
  <c r="P14" i="7"/>
  <c r="T14" i="7" s="1"/>
  <c r="S14" i="7"/>
  <c r="S15" i="7"/>
  <c r="U15" i="7" s="1"/>
  <c r="I15" i="7" s="1"/>
  <c r="S16" i="7"/>
  <c r="U16" i="7" s="1"/>
  <c r="I16" i="7" s="1"/>
  <c r="S17" i="7"/>
  <c r="U17" i="7" s="1"/>
  <c r="I17" i="7" s="1"/>
  <c r="S18" i="7"/>
  <c r="S19" i="7"/>
  <c r="S20" i="7"/>
  <c r="S21" i="7"/>
  <c r="S22" i="7"/>
  <c r="U22" i="7" s="1"/>
  <c r="I22" i="7" s="1"/>
  <c r="S23" i="7"/>
  <c r="U23" i="7" s="1"/>
  <c r="I23" i="7" s="1"/>
  <c r="S24" i="7"/>
  <c r="U24" i="7" s="1"/>
  <c r="I24" i="7" s="1"/>
  <c r="S25" i="7"/>
  <c r="U25" i="7" s="1"/>
  <c r="I25" i="7" s="1"/>
  <c r="S26" i="7"/>
  <c r="S27" i="7"/>
  <c r="U27" i="7" s="1"/>
  <c r="I27" i="7" s="1"/>
  <c r="S28" i="7"/>
  <c r="U28" i="7" s="1"/>
  <c r="I28" i="7" s="1"/>
  <c r="S29" i="7"/>
  <c r="U29" i="7" s="1"/>
  <c r="I29" i="7" s="1"/>
  <c r="S30" i="7"/>
  <c r="U30" i="7" s="1"/>
  <c r="I30" i="7" s="1"/>
  <c r="S31" i="7"/>
  <c r="U31" i="7" s="1"/>
  <c r="I31" i="7" s="1"/>
  <c r="S32" i="7"/>
  <c r="U32" i="7" s="1"/>
  <c r="I32" i="7" s="1"/>
  <c r="O32" i="6"/>
  <c r="R32" i="6" s="1"/>
  <c r="N32" i="6"/>
  <c r="Q32" i="6" s="1"/>
  <c r="M32" i="6"/>
  <c r="P32" i="6" s="1"/>
  <c r="O31" i="6"/>
  <c r="R31" i="6" s="1"/>
  <c r="N31" i="6"/>
  <c r="Q31" i="6" s="1"/>
  <c r="M31" i="6"/>
  <c r="P31" i="6" s="1"/>
  <c r="O30" i="6"/>
  <c r="R30" i="6" s="1"/>
  <c r="N30" i="6"/>
  <c r="Q30" i="6" s="1"/>
  <c r="M30" i="6"/>
  <c r="O29" i="6"/>
  <c r="R29" i="6" s="1"/>
  <c r="N29" i="6"/>
  <c r="M29" i="6"/>
  <c r="P29" i="6" s="1"/>
  <c r="O28" i="6"/>
  <c r="R28" i="6" s="1"/>
  <c r="N28" i="6"/>
  <c r="Q28" i="6" s="1"/>
  <c r="M28" i="6"/>
  <c r="P28" i="6" s="1"/>
  <c r="O27" i="6"/>
  <c r="R27" i="6" s="1"/>
  <c r="N27" i="6"/>
  <c r="Q27" i="6" s="1"/>
  <c r="M27" i="6"/>
  <c r="P27" i="6" s="1"/>
  <c r="O26" i="6"/>
  <c r="R26" i="6" s="1"/>
  <c r="N26" i="6"/>
  <c r="Q26" i="6" s="1"/>
  <c r="M26" i="6"/>
  <c r="P26" i="6" s="1"/>
  <c r="O25" i="6"/>
  <c r="R25" i="6" s="1"/>
  <c r="N25" i="6"/>
  <c r="Q25" i="6" s="1"/>
  <c r="M25" i="6"/>
  <c r="P25" i="6" s="1"/>
  <c r="O24" i="6"/>
  <c r="R24" i="6" s="1"/>
  <c r="N24" i="6"/>
  <c r="Q24" i="6" s="1"/>
  <c r="M24" i="6"/>
  <c r="O23" i="6"/>
  <c r="N23" i="6"/>
  <c r="M23" i="6"/>
  <c r="P23" i="6" s="1"/>
  <c r="O22" i="6"/>
  <c r="R22" i="6" s="1"/>
  <c r="N22" i="6"/>
  <c r="Q22" i="6" s="1"/>
  <c r="M22" i="6"/>
  <c r="O21" i="6"/>
  <c r="N21" i="6"/>
  <c r="M21" i="6"/>
  <c r="P21" i="6" s="1"/>
  <c r="O20" i="6"/>
  <c r="N20" i="6"/>
  <c r="Q20" i="6" s="1"/>
  <c r="M20" i="6"/>
  <c r="O19" i="6"/>
  <c r="N19" i="6"/>
  <c r="Q19" i="6" s="1"/>
  <c r="M19" i="6"/>
  <c r="P19" i="6" s="1"/>
  <c r="O18" i="6"/>
  <c r="R18" i="6" s="1"/>
  <c r="N18" i="6"/>
  <c r="Q18" i="6" s="1"/>
  <c r="M18" i="6"/>
  <c r="P18" i="6" s="1"/>
  <c r="O17" i="6"/>
  <c r="N17" i="6"/>
  <c r="M17" i="6"/>
  <c r="P17" i="6" s="1"/>
  <c r="O16" i="6"/>
  <c r="R16" i="6" s="1"/>
  <c r="N16" i="6"/>
  <c r="Q16" i="6" s="1"/>
  <c r="M16" i="6"/>
  <c r="O15" i="6"/>
  <c r="R15" i="6" s="1"/>
  <c r="N15" i="6"/>
  <c r="Q15" i="6" s="1"/>
  <c r="M15" i="6"/>
  <c r="O14" i="6"/>
  <c r="R14" i="6" s="1"/>
  <c r="N14" i="6"/>
  <c r="Q14" i="6" s="1"/>
  <c r="M14" i="6"/>
  <c r="P14" i="6" s="1"/>
  <c r="O13" i="6"/>
  <c r="R13" i="6" s="1"/>
  <c r="N13" i="6"/>
  <c r="Q13" i="6" s="1"/>
  <c r="M13" i="6"/>
  <c r="P13" i="6" s="1"/>
  <c r="O12" i="6"/>
  <c r="O34" i="6" s="1"/>
  <c r="N12" i="6"/>
  <c r="Q12" i="6" s="1"/>
  <c r="M12" i="6"/>
  <c r="M34" i="6" s="1"/>
  <c r="F35" i="6"/>
  <c r="E35" i="6"/>
  <c r="Q29" i="6"/>
  <c r="P24" i="6"/>
  <c r="Q23" i="6"/>
  <c r="R23" i="6"/>
  <c r="P22" i="6"/>
  <c r="Q21" i="6"/>
  <c r="R21" i="6"/>
  <c r="R20" i="6"/>
  <c r="P20" i="6"/>
  <c r="R19" i="6"/>
  <c r="Q17" i="6"/>
  <c r="R17" i="6"/>
  <c r="P16" i="6"/>
  <c r="P15" i="6"/>
  <c r="O32" i="5"/>
  <c r="N32" i="5"/>
  <c r="M32" i="5"/>
  <c r="O31" i="5"/>
  <c r="N31" i="5"/>
  <c r="M31" i="5"/>
  <c r="P31" i="5" s="1"/>
  <c r="O30" i="5"/>
  <c r="R30" i="5" s="1"/>
  <c r="N30" i="5"/>
  <c r="M30" i="5"/>
  <c r="P30" i="5" s="1"/>
  <c r="O29" i="5"/>
  <c r="N29" i="5"/>
  <c r="M29" i="5"/>
  <c r="P29" i="5" s="1"/>
  <c r="O28" i="5"/>
  <c r="R28" i="5" s="1"/>
  <c r="N28" i="5"/>
  <c r="M28" i="5"/>
  <c r="O27" i="5"/>
  <c r="N27" i="5"/>
  <c r="M27" i="5"/>
  <c r="P27" i="5" s="1"/>
  <c r="O26" i="5"/>
  <c r="R26" i="5" s="1"/>
  <c r="N26" i="5"/>
  <c r="Q26" i="5" s="1"/>
  <c r="M26" i="5"/>
  <c r="P26" i="5" s="1"/>
  <c r="O25" i="5"/>
  <c r="R25" i="5" s="1"/>
  <c r="N25" i="5"/>
  <c r="Q25" i="5" s="1"/>
  <c r="M25" i="5"/>
  <c r="P25" i="5" s="1"/>
  <c r="O24" i="5"/>
  <c r="R24" i="5" s="1"/>
  <c r="N24" i="5"/>
  <c r="Q24" i="5" s="1"/>
  <c r="M24" i="5"/>
  <c r="P24" i="5" s="1"/>
  <c r="O23" i="5"/>
  <c r="R23" i="5" s="1"/>
  <c r="N23" i="5"/>
  <c r="Q23" i="5" s="1"/>
  <c r="M23" i="5"/>
  <c r="P23" i="5" s="1"/>
  <c r="O22" i="5"/>
  <c r="N22" i="5"/>
  <c r="M22" i="5"/>
  <c r="P22" i="5" s="1"/>
  <c r="O21" i="5"/>
  <c r="R21" i="5" s="1"/>
  <c r="N21" i="5"/>
  <c r="M21" i="5"/>
  <c r="P21" i="5" s="1"/>
  <c r="O20" i="5"/>
  <c r="N20" i="5"/>
  <c r="Q20" i="5" s="1"/>
  <c r="M20" i="5"/>
  <c r="O19" i="5"/>
  <c r="N19" i="5"/>
  <c r="M19" i="5"/>
  <c r="P19" i="5" s="1"/>
  <c r="O18" i="5"/>
  <c r="R18" i="5" s="1"/>
  <c r="N18" i="5"/>
  <c r="M18" i="5"/>
  <c r="O17" i="5"/>
  <c r="R17" i="5" s="1"/>
  <c r="N17" i="5"/>
  <c r="Q17" i="5" s="1"/>
  <c r="M17" i="5"/>
  <c r="S17" i="5" s="1"/>
  <c r="O16" i="5"/>
  <c r="R16" i="5" s="1"/>
  <c r="N16" i="5"/>
  <c r="Q16" i="5" s="1"/>
  <c r="M16" i="5"/>
  <c r="O14" i="5"/>
  <c r="R14" i="5" s="1"/>
  <c r="N14" i="5"/>
  <c r="M14" i="5"/>
  <c r="P14" i="5" s="1"/>
  <c r="O13" i="5"/>
  <c r="N13" i="5"/>
  <c r="Q13" i="5" s="1"/>
  <c r="M13" i="5"/>
  <c r="P13" i="5" s="1"/>
  <c r="O12" i="5"/>
  <c r="R12" i="5" s="1"/>
  <c r="N12" i="5"/>
  <c r="M12" i="5"/>
  <c r="G35" i="5"/>
  <c r="F35" i="5"/>
  <c r="E35" i="5"/>
  <c r="R32" i="5"/>
  <c r="P32" i="5"/>
  <c r="R31" i="5"/>
  <c r="Q31" i="5"/>
  <c r="Q30" i="5"/>
  <c r="R29" i="5"/>
  <c r="Q29" i="5"/>
  <c r="P28" i="5"/>
  <c r="R27" i="5"/>
  <c r="Q27" i="5"/>
  <c r="R22" i="5"/>
  <c r="Q22" i="5"/>
  <c r="Q21" i="5"/>
  <c r="R20" i="5"/>
  <c r="P20" i="5"/>
  <c r="R19" i="5"/>
  <c r="Q19" i="5"/>
  <c r="P18" i="5"/>
  <c r="Q18" i="5"/>
  <c r="P16" i="5"/>
  <c r="R15" i="5"/>
  <c r="P15" i="5"/>
  <c r="Q15" i="5"/>
  <c r="S15" i="5"/>
  <c r="Q14" i="5"/>
  <c r="R13" i="5"/>
  <c r="S13" i="5"/>
  <c r="U18" i="9" l="1"/>
  <c r="I18" i="9" s="1"/>
  <c r="U26" i="7"/>
  <c r="I26" i="7" s="1"/>
  <c r="G34" i="8"/>
  <c r="U15" i="9"/>
  <c r="I15" i="9" s="1"/>
  <c r="J15" i="8" s="1"/>
  <c r="U15" i="8"/>
  <c r="I15" i="8" s="1"/>
  <c r="E34" i="8"/>
  <c r="U24" i="8"/>
  <c r="I24" i="8" s="1"/>
  <c r="J24" i="8" s="1"/>
  <c r="F34" i="7"/>
  <c r="O34" i="5"/>
  <c r="U30" i="8"/>
  <c r="I30" i="8" s="1"/>
  <c r="J30" i="8" s="1"/>
  <c r="G34" i="10"/>
  <c r="U21" i="7"/>
  <c r="I21" i="7" s="1"/>
  <c r="J21" i="7" s="1"/>
  <c r="U26" i="11"/>
  <c r="I26" i="11" s="1"/>
  <c r="J26" i="12" s="1"/>
  <c r="U20" i="7"/>
  <c r="I20" i="7" s="1"/>
  <c r="U13" i="9"/>
  <c r="I13" i="9" s="1"/>
  <c r="J13" i="8" s="1"/>
  <c r="U19" i="7"/>
  <c r="I19" i="7" s="1"/>
  <c r="J19" i="7" s="1"/>
  <c r="U18" i="8"/>
  <c r="I18" i="8" s="1"/>
  <c r="J18" i="8" s="1"/>
  <c r="U32" i="10"/>
  <c r="I32" i="10" s="1"/>
  <c r="J32" i="10" s="1"/>
  <c r="U22" i="11"/>
  <c r="I22" i="11" s="1"/>
  <c r="J22" i="12" s="1"/>
  <c r="U20" i="9"/>
  <c r="I20" i="9" s="1"/>
  <c r="S34" i="7"/>
  <c r="U18" i="7"/>
  <c r="I18" i="7" s="1"/>
  <c r="S28" i="5"/>
  <c r="S30" i="5"/>
  <c r="S32" i="5"/>
  <c r="U29" i="9"/>
  <c r="I29" i="9" s="1"/>
  <c r="U17" i="10"/>
  <c r="I17" i="10" s="1"/>
  <c r="J17" i="10" s="1"/>
  <c r="U13" i="7"/>
  <c r="I13" i="7" s="1"/>
  <c r="J13" i="7" s="1"/>
  <c r="U22" i="9"/>
  <c r="I22" i="9" s="1"/>
  <c r="U31" i="8"/>
  <c r="I31" i="8" s="1"/>
  <c r="J31" i="8" s="1"/>
  <c r="U28" i="8"/>
  <c r="I28" i="8" s="1"/>
  <c r="J28" i="7" s="1"/>
  <c r="U25" i="8"/>
  <c r="I25" i="8" s="1"/>
  <c r="J25" i="8" s="1"/>
  <c r="U22" i="8"/>
  <c r="I22" i="8" s="1"/>
  <c r="J22" i="8" s="1"/>
  <c r="U19" i="8"/>
  <c r="I19" i="8" s="1"/>
  <c r="U16" i="8"/>
  <c r="I16" i="8" s="1"/>
  <c r="J16" i="7" s="1"/>
  <c r="U30" i="10"/>
  <c r="I30" i="10" s="1"/>
  <c r="J30" i="10" s="1"/>
  <c r="U25" i="11"/>
  <c r="I25" i="11" s="1"/>
  <c r="J25" i="12" s="1"/>
  <c r="S15" i="6"/>
  <c r="U31" i="9"/>
  <c r="I31" i="9" s="1"/>
  <c r="U19" i="9"/>
  <c r="I19" i="9" s="1"/>
  <c r="Q34" i="6"/>
  <c r="J27" i="7"/>
  <c r="J15" i="7"/>
  <c r="J13" i="12"/>
  <c r="P17" i="5"/>
  <c r="S25" i="5"/>
  <c r="Q32" i="5"/>
  <c r="T32" i="5" s="1"/>
  <c r="U32" i="5" s="1"/>
  <c r="I32" i="5" s="1"/>
  <c r="U19" i="10"/>
  <c r="I19" i="10" s="1"/>
  <c r="J19" i="10" s="1"/>
  <c r="U13" i="10"/>
  <c r="I13" i="10" s="1"/>
  <c r="J13" i="10" s="1"/>
  <c r="M34" i="5"/>
  <c r="J14" i="12"/>
  <c r="S21" i="5"/>
  <c r="Q28" i="5"/>
  <c r="U31" i="11"/>
  <c r="I31" i="11" s="1"/>
  <c r="U19" i="11"/>
  <c r="I19" i="11" s="1"/>
  <c r="J27" i="8"/>
  <c r="U32" i="8"/>
  <c r="I32" i="8" s="1"/>
  <c r="J32" i="8" s="1"/>
  <c r="U29" i="8"/>
  <c r="I29" i="8" s="1"/>
  <c r="J29" i="7" s="1"/>
  <c r="U26" i="8"/>
  <c r="I26" i="8" s="1"/>
  <c r="J26" i="8" s="1"/>
  <c r="U23" i="8"/>
  <c r="I23" i="8" s="1"/>
  <c r="J23" i="8" s="1"/>
  <c r="U20" i="8"/>
  <c r="I20" i="8" s="1"/>
  <c r="J20" i="8" s="1"/>
  <c r="U17" i="8"/>
  <c r="I17" i="8" s="1"/>
  <c r="J17" i="8" s="1"/>
  <c r="U14" i="8"/>
  <c r="I14" i="8" s="1"/>
  <c r="U28" i="9"/>
  <c r="I28" i="9" s="1"/>
  <c r="U16" i="9"/>
  <c r="I16" i="9" s="1"/>
  <c r="U31" i="10"/>
  <c r="I31" i="10" s="1"/>
  <c r="J31" i="10" s="1"/>
  <c r="U17" i="11"/>
  <c r="I17" i="11" s="1"/>
  <c r="P12" i="5"/>
  <c r="P34" i="5" s="1"/>
  <c r="E34" i="5" s="1"/>
  <c r="U27" i="9"/>
  <c r="I27" i="9" s="1"/>
  <c r="U21" i="9"/>
  <c r="I21" i="9" s="1"/>
  <c r="Q34" i="10"/>
  <c r="F34" i="10" s="1"/>
  <c r="U21" i="10"/>
  <c r="I21" i="10" s="1"/>
  <c r="J21" i="10" s="1"/>
  <c r="U15" i="10"/>
  <c r="I15" i="10" s="1"/>
  <c r="J15" i="10" s="1"/>
  <c r="U30" i="11"/>
  <c r="I30" i="11" s="1"/>
  <c r="U27" i="11"/>
  <c r="I27" i="11" s="1"/>
  <c r="U15" i="11"/>
  <c r="I15" i="11" s="1"/>
  <c r="U18" i="11"/>
  <c r="I18" i="11" s="1"/>
  <c r="G34" i="11"/>
  <c r="F34" i="11"/>
  <c r="U23" i="11"/>
  <c r="I23" i="11" s="1"/>
  <c r="S34" i="11"/>
  <c r="U32" i="11"/>
  <c r="I32" i="11" s="1"/>
  <c r="U28" i="11"/>
  <c r="I28" i="11" s="1"/>
  <c r="U24" i="11"/>
  <c r="I24" i="11" s="1"/>
  <c r="U20" i="11"/>
  <c r="U16" i="11"/>
  <c r="I16" i="11" s="1"/>
  <c r="U29" i="11"/>
  <c r="I29" i="11" s="1"/>
  <c r="U21" i="11"/>
  <c r="I21" i="11" s="1"/>
  <c r="T12" i="11"/>
  <c r="U12" i="11" s="1"/>
  <c r="I12" i="11" s="1"/>
  <c r="P34" i="11"/>
  <c r="U29" i="10"/>
  <c r="I29" i="10" s="1"/>
  <c r="J29" i="9" s="1"/>
  <c r="U28" i="10"/>
  <c r="I28" i="10" s="1"/>
  <c r="J28" i="10" s="1"/>
  <c r="U27" i="10"/>
  <c r="I27" i="10" s="1"/>
  <c r="J27" i="10" s="1"/>
  <c r="U26" i="10"/>
  <c r="I26" i="10" s="1"/>
  <c r="J26" i="10" s="1"/>
  <c r="U25" i="10"/>
  <c r="I25" i="10" s="1"/>
  <c r="J25" i="10" s="1"/>
  <c r="S34" i="10"/>
  <c r="U22" i="10"/>
  <c r="I22" i="10" s="1"/>
  <c r="J22" i="10" s="1"/>
  <c r="U20" i="10"/>
  <c r="I20" i="10" s="1"/>
  <c r="J20" i="10" s="1"/>
  <c r="U18" i="10"/>
  <c r="I18" i="10" s="1"/>
  <c r="J18" i="10" s="1"/>
  <c r="U16" i="10"/>
  <c r="I16" i="10" s="1"/>
  <c r="J16" i="10" s="1"/>
  <c r="U14" i="10"/>
  <c r="I14" i="10" s="1"/>
  <c r="J14" i="10" s="1"/>
  <c r="E34" i="10"/>
  <c r="T34" i="10"/>
  <c r="U34" i="10" s="1"/>
  <c r="I34" i="10" s="1"/>
  <c r="J34" i="10" s="1"/>
  <c r="T12" i="10"/>
  <c r="U12" i="10" s="1"/>
  <c r="I12" i="10" s="1"/>
  <c r="U14" i="9"/>
  <c r="I14" i="9" s="1"/>
  <c r="J14" i="9" s="1"/>
  <c r="P34" i="9"/>
  <c r="T12" i="9"/>
  <c r="U12" i="9" s="1"/>
  <c r="I12" i="9" s="1"/>
  <c r="T34" i="8"/>
  <c r="U34" i="8" s="1"/>
  <c r="I34" i="8" s="1"/>
  <c r="T12" i="8"/>
  <c r="U12" i="8" s="1"/>
  <c r="I12" i="8" s="1"/>
  <c r="U14" i="7"/>
  <c r="I14" i="7" s="1"/>
  <c r="P34" i="7"/>
  <c r="T12" i="7"/>
  <c r="U12" i="7" s="1"/>
  <c r="I12" i="7" s="1"/>
  <c r="N34" i="6"/>
  <c r="T32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1" i="6"/>
  <c r="S17" i="6"/>
  <c r="P12" i="6"/>
  <c r="R12" i="6"/>
  <c r="R34" i="6" s="1"/>
  <c r="G34" i="6" s="1"/>
  <c r="T13" i="6"/>
  <c r="S13" i="6"/>
  <c r="T14" i="6"/>
  <c r="S14" i="6"/>
  <c r="T15" i="6"/>
  <c r="U15" i="6" s="1"/>
  <c r="I15" i="6" s="1"/>
  <c r="J15" i="6" s="1"/>
  <c r="S12" i="6"/>
  <c r="S16" i="6"/>
  <c r="U16" i="6" s="1"/>
  <c r="I16" i="6" s="1"/>
  <c r="J16" i="6" s="1"/>
  <c r="S18" i="6"/>
  <c r="S19" i="6"/>
  <c r="S20" i="6"/>
  <c r="S21" i="6"/>
  <c r="S22" i="6"/>
  <c r="S23" i="6"/>
  <c r="S24" i="6"/>
  <c r="S25" i="6"/>
  <c r="S26" i="6"/>
  <c r="S27" i="6"/>
  <c r="S28" i="6"/>
  <c r="S29" i="6"/>
  <c r="P30" i="6"/>
  <c r="T30" i="6" s="1"/>
  <c r="S30" i="6"/>
  <c r="S31" i="6"/>
  <c r="S32" i="6"/>
  <c r="S19" i="5"/>
  <c r="S23" i="5"/>
  <c r="S27" i="5"/>
  <c r="S29" i="5"/>
  <c r="S31" i="5"/>
  <c r="T13" i="5"/>
  <c r="U13" i="5" s="1"/>
  <c r="I13" i="5" s="1"/>
  <c r="T15" i="5"/>
  <c r="U15" i="5" s="1"/>
  <c r="T17" i="5"/>
  <c r="U17" i="5" s="1"/>
  <c r="I17" i="5" s="1"/>
  <c r="T19" i="5"/>
  <c r="U19" i="5" s="1"/>
  <c r="I19" i="5" s="1"/>
  <c r="T21" i="5"/>
  <c r="T23" i="5"/>
  <c r="T25" i="5"/>
  <c r="T14" i="5"/>
  <c r="T16" i="5"/>
  <c r="T18" i="5"/>
  <c r="T20" i="5"/>
  <c r="T22" i="5"/>
  <c r="T24" i="5"/>
  <c r="T26" i="5"/>
  <c r="N34" i="5"/>
  <c r="Q12" i="5"/>
  <c r="T28" i="5"/>
  <c r="U28" i="5" s="1"/>
  <c r="I28" i="5" s="1"/>
  <c r="T30" i="5"/>
  <c r="U30" i="5" s="1"/>
  <c r="I30" i="5" s="1"/>
  <c r="S12" i="5"/>
  <c r="R34" i="5"/>
  <c r="G34" i="5" s="1"/>
  <c r="S14" i="5"/>
  <c r="S16" i="5"/>
  <c r="S18" i="5"/>
  <c r="S20" i="5"/>
  <c r="S22" i="5"/>
  <c r="S24" i="5"/>
  <c r="S26" i="5"/>
  <c r="T27" i="5"/>
  <c r="T29" i="5"/>
  <c r="T31" i="5"/>
  <c r="Q34" i="5" l="1"/>
  <c r="J17" i="9"/>
  <c r="S34" i="5"/>
  <c r="J32" i="9"/>
  <c r="U21" i="5"/>
  <c r="I21" i="5" s="1"/>
  <c r="F34" i="6"/>
  <c r="J18" i="7"/>
  <c r="J19" i="9"/>
  <c r="J24" i="7"/>
  <c r="J16" i="8"/>
  <c r="U27" i="5"/>
  <c r="I27" i="5" s="1"/>
  <c r="J30" i="7"/>
  <c r="U25" i="5"/>
  <c r="I25" i="5" s="1"/>
  <c r="J22" i="7"/>
  <c r="J15" i="9"/>
  <c r="J13" i="9"/>
  <c r="J19" i="8"/>
  <c r="J21" i="9"/>
  <c r="J17" i="7"/>
  <c r="J30" i="9"/>
  <c r="J28" i="8"/>
  <c r="J29" i="8"/>
  <c r="J25" i="7"/>
  <c r="U22" i="5"/>
  <c r="I22" i="5" s="1"/>
  <c r="U31" i="5"/>
  <c r="I31" i="5" s="1"/>
  <c r="U20" i="5"/>
  <c r="I20" i="5" s="1"/>
  <c r="J14" i="8"/>
  <c r="J31" i="7"/>
  <c r="I35" i="7"/>
  <c r="J12" i="7"/>
  <c r="J32" i="12"/>
  <c r="J29" i="12"/>
  <c r="J27" i="12"/>
  <c r="J19" i="12"/>
  <c r="J25" i="9"/>
  <c r="J14" i="7"/>
  <c r="I35" i="10"/>
  <c r="J35" i="10" s="1"/>
  <c r="J12" i="10"/>
  <c r="J16" i="12"/>
  <c r="J23" i="12"/>
  <c r="J30" i="12"/>
  <c r="J27" i="9"/>
  <c r="J31" i="12"/>
  <c r="J18" i="9"/>
  <c r="J31" i="9"/>
  <c r="J15" i="12"/>
  <c r="U29" i="5"/>
  <c r="I29" i="5" s="1"/>
  <c r="U16" i="5"/>
  <c r="I16" i="5" s="1"/>
  <c r="J16" i="5" s="1"/>
  <c r="I35" i="8"/>
  <c r="J35" i="8" s="1"/>
  <c r="J12" i="8"/>
  <c r="J16" i="9"/>
  <c r="J23" i="7"/>
  <c r="J20" i="7"/>
  <c r="J20" i="9"/>
  <c r="U18" i="5"/>
  <c r="I18" i="5" s="1"/>
  <c r="J24" i="12"/>
  <c r="J22" i="9"/>
  <c r="J26" i="7"/>
  <c r="J26" i="9"/>
  <c r="J21" i="12"/>
  <c r="U26" i="5"/>
  <c r="I26" i="5" s="1"/>
  <c r="U14" i="5"/>
  <c r="I14" i="5" s="1"/>
  <c r="U24" i="5"/>
  <c r="I24" i="5" s="1"/>
  <c r="U23" i="5"/>
  <c r="I23" i="5" s="1"/>
  <c r="U17" i="6"/>
  <c r="I17" i="6" s="1"/>
  <c r="J17" i="6" s="1"/>
  <c r="S34" i="6"/>
  <c r="I35" i="9"/>
  <c r="J12" i="9"/>
  <c r="J12" i="12"/>
  <c r="J28" i="12"/>
  <c r="J18" i="12"/>
  <c r="J28" i="9"/>
  <c r="J21" i="8"/>
  <c r="J32" i="7"/>
  <c r="I35" i="11"/>
  <c r="T34" i="11"/>
  <c r="U34" i="11" s="1"/>
  <c r="I34" i="11" s="1"/>
  <c r="E34" i="11"/>
  <c r="E34" i="9"/>
  <c r="T34" i="9"/>
  <c r="U34" i="9" s="1"/>
  <c r="I34" i="9" s="1"/>
  <c r="J34" i="9" s="1"/>
  <c r="E34" i="7"/>
  <c r="T34" i="7"/>
  <c r="U34" i="7" s="1"/>
  <c r="I34" i="7" s="1"/>
  <c r="J34" i="7" s="1"/>
  <c r="U32" i="6"/>
  <c r="I32" i="6" s="1"/>
  <c r="J32" i="6" s="1"/>
  <c r="U14" i="6"/>
  <c r="I14" i="6" s="1"/>
  <c r="J14" i="6" s="1"/>
  <c r="U31" i="6"/>
  <c r="I31" i="6" s="1"/>
  <c r="J31" i="6" s="1"/>
  <c r="U28" i="6"/>
  <c r="I28" i="6" s="1"/>
  <c r="J28" i="6" s="1"/>
  <c r="U26" i="6"/>
  <c r="I26" i="6" s="1"/>
  <c r="J26" i="6" s="1"/>
  <c r="U24" i="6"/>
  <c r="I24" i="6" s="1"/>
  <c r="J24" i="6" s="1"/>
  <c r="U22" i="6"/>
  <c r="I22" i="6" s="1"/>
  <c r="J22" i="6" s="1"/>
  <c r="U20" i="6"/>
  <c r="I20" i="6" s="1"/>
  <c r="J20" i="6" s="1"/>
  <c r="U18" i="6"/>
  <c r="I18" i="6" s="1"/>
  <c r="J18" i="6" s="1"/>
  <c r="U29" i="6"/>
  <c r="I29" i="6" s="1"/>
  <c r="J29" i="6" s="1"/>
  <c r="U27" i="6"/>
  <c r="I27" i="6" s="1"/>
  <c r="J27" i="6" s="1"/>
  <c r="U25" i="6"/>
  <c r="I25" i="6" s="1"/>
  <c r="J25" i="6" s="1"/>
  <c r="U23" i="6"/>
  <c r="I23" i="6" s="1"/>
  <c r="J23" i="6" s="1"/>
  <c r="U21" i="6"/>
  <c r="I21" i="6" s="1"/>
  <c r="J21" i="6" s="1"/>
  <c r="U19" i="6"/>
  <c r="I19" i="6" s="1"/>
  <c r="J19" i="6" s="1"/>
  <c r="U13" i="6"/>
  <c r="I13" i="6" s="1"/>
  <c r="J13" i="6" s="1"/>
  <c r="P34" i="6"/>
  <c r="T12" i="6"/>
  <c r="U12" i="6" s="1"/>
  <c r="I12" i="6" s="1"/>
  <c r="U30" i="6"/>
  <c r="I30" i="6" s="1"/>
  <c r="J30" i="6" s="1"/>
  <c r="F34" i="5"/>
  <c r="T12" i="5"/>
  <c r="U12" i="5" s="1"/>
  <c r="I12" i="5" s="1"/>
  <c r="T34" i="5"/>
  <c r="U34" i="5" s="1"/>
  <c r="I34" i="5" s="1"/>
  <c r="J20" i="5" l="1"/>
  <c r="J24" i="5"/>
  <c r="J35" i="9"/>
  <c r="J26" i="5"/>
  <c r="J13" i="5"/>
  <c r="J25" i="5"/>
  <c r="J31" i="5"/>
  <c r="J18" i="5"/>
  <c r="J34" i="12"/>
  <c r="J14" i="5"/>
  <c r="J22" i="5"/>
  <c r="J34" i="8"/>
  <c r="J29" i="5"/>
  <c r="J21" i="5"/>
  <c r="I35" i="6"/>
  <c r="J35" i="6" s="1"/>
  <c r="J12" i="6"/>
  <c r="J12" i="5"/>
  <c r="I35" i="5"/>
  <c r="J35" i="12"/>
  <c r="J27" i="5"/>
  <c r="J28" i="5"/>
  <c r="J35" i="7"/>
  <c r="J23" i="5"/>
  <c r="J17" i="5"/>
  <c r="J30" i="5"/>
  <c r="J19" i="5"/>
  <c r="J32" i="5"/>
  <c r="E34" i="6"/>
  <c r="T34" i="6"/>
  <c r="U34" i="6" s="1"/>
  <c r="I34" i="6" s="1"/>
  <c r="J34" i="6" s="1"/>
  <c r="J35" i="5" l="1"/>
  <c r="J34" i="5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E35" i="1" l="1"/>
  <c r="F35" i="1"/>
  <c r="G35" i="1"/>
  <c r="R32" i="1" l="1"/>
  <c r="Q32" i="1"/>
  <c r="P32" i="1"/>
  <c r="R31" i="1"/>
  <c r="Q31" i="1"/>
  <c r="R30" i="1"/>
  <c r="Q30" i="1"/>
  <c r="R29" i="1"/>
  <c r="Q29" i="1"/>
  <c r="P29" i="1"/>
  <c r="R28" i="1"/>
  <c r="Q28" i="1"/>
  <c r="R27" i="1"/>
  <c r="Q27" i="1"/>
  <c r="R26" i="1"/>
  <c r="Q26" i="1"/>
  <c r="R25" i="1"/>
  <c r="Q25" i="1"/>
  <c r="P25" i="1"/>
  <c r="R24" i="1"/>
  <c r="Q24" i="1"/>
  <c r="R23" i="1"/>
  <c r="Q23" i="1"/>
  <c r="R22" i="1"/>
  <c r="Q22" i="1"/>
  <c r="R21" i="1"/>
  <c r="Q21" i="1"/>
  <c r="P21" i="1"/>
  <c r="R20" i="1"/>
  <c r="Q20" i="1"/>
  <c r="R19" i="1"/>
  <c r="Q19" i="1"/>
  <c r="R18" i="1"/>
  <c r="Q18" i="1"/>
  <c r="R17" i="1"/>
  <c r="Q17" i="1"/>
  <c r="P17" i="1"/>
  <c r="R16" i="1"/>
  <c r="Q16" i="1"/>
  <c r="R15" i="1"/>
  <c r="Q15" i="1"/>
  <c r="R14" i="1"/>
  <c r="Q14" i="1"/>
  <c r="R13" i="1"/>
  <c r="Q13" i="1"/>
  <c r="P13" i="1"/>
  <c r="N34" i="1"/>
  <c r="M34" i="1"/>
  <c r="Q12" i="1"/>
  <c r="Q34" i="1" l="1"/>
  <c r="F34" i="1" s="1"/>
  <c r="R12" i="1"/>
  <c r="R34" i="1" s="1"/>
  <c r="O34" i="1"/>
  <c r="S34" i="1" s="1"/>
  <c r="S12" i="1"/>
  <c r="S14" i="1"/>
  <c r="S16" i="1"/>
  <c r="S18" i="1"/>
  <c r="S20" i="1"/>
  <c r="S22" i="1"/>
  <c r="S24" i="1"/>
  <c r="S26" i="1"/>
  <c r="S28" i="1"/>
  <c r="S30" i="1"/>
  <c r="S13" i="1"/>
  <c r="S15" i="1"/>
  <c r="S17" i="1"/>
  <c r="S19" i="1"/>
  <c r="S21" i="1"/>
  <c r="S23" i="1"/>
  <c r="S25" i="1"/>
  <c r="S27" i="1"/>
  <c r="S29" i="1"/>
  <c r="S31" i="1"/>
  <c r="S32" i="1"/>
  <c r="P15" i="1"/>
  <c r="T15" i="1" s="1"/>
  <c r="P19" i="1"/>
  <c r="T19" i="1" s="1"/>
  <c r="P23" i="1"/>
  <c r="T23" i="1" s="1"/>
  <c r="P27" i="1"/>
  <c r="T27" i="1" s="1"/>
  <c r="P31" i="1"/>
  <c r="T31" i="1" s="1"/>
  <c r="T13" i="1"/>
  <c r="P14" i="1"/>
  <c r="T14" i="1" s="1"/>
  <c r="P16" i="1"/>
  <c r="T16" i="1" s="1"/>
  <c r="T17" i="1"/>
  <c r="P18" i="1"/>
  <c r="T18" i="1" s="1"/>
  <c r="P20" i="1"/>
  <c r="T20" i="1" s="1"/>
  <c r="U20" i="1" s="1"/>
  <c r="I20" i="1" s="1"/>
  <c r="J20" i="1" s="1"/>
  <c r="T21" i="1"/>
  <c r="P22" i="1"/>
  <c r="T22" i="1" s="1"/>
  <c r="P24" i="1"/>
  <c r="T24" i="1" s="1"/>
  <c r="T25" i="1"/>
  <c r="P26" i="1"/>
  <c r="T26" i="1" s="1"/>
  <c r="P28" i="1"/>
  <c r="T28" i="1" s="1"/>
  <c r="T29" i="1"/>
  <c r="P30" i="1"/>
  <c r="T30" i="1" s="1"/>
  <c r="T32" i="1"/>
  <c r="P12" i="1"/>
  <c r="U23" i="1" l="1"/>
  <c r="I23" i="1" s="1"/>
  <c r="U26" i="1"/>
  <c r="I26" i="1" s="1"/>
  <c r="U31" i="1"/>
  <c r="I31" i="1" s="1"/>
  <c r="J31" i="11" s="1"/>
  <c r="J31" i="1"/>
  <c r="J26" i="1"/>
  <c r="J26" i="11"/>
  <c r="J23" i="1"/>
  <c r="J23" i="11"/>
  <c r="U24" i="1"/>
  <c r="I24" i="1" s="1"/>
  <c r="U22" i="1"/>
  <c r="I22" i="1" s="1"/>
  <c r="U14" i="1"/>
  <c r="I14" i="1" s="1"/>
  <c r="U15" i="1"/>
  <c r="I15" i="1" s="1"/>
  <c r="J15" i="11" s="1"/>
  <c r="U30" i="1"/>
  <c r="I30" i="1" s="1"/>
  <c r="U18" i="1"/>
  <c r="I18" i="1" s="1"/>
  <c r="U27" i="1"/>
  <c r="I27" i="1" s="1"/>
  <c r="U19" i="1"/>
  <c r="I19" i="1" s="1"/>
  <c r="U28" i="1"/>
  <c r="I28" i="1" s="1"/>
  <c r="U16" i="1"/>
  <c r="I16" i="1" s="1"/>
  <c r="U32" i="1"/>
  <c r="I32" i="1" s="1"/>
  <c r="U29" i="1"/>
  <c r="I29" i="1" s="1"/>
  <c r="U25" i="1"/>
  <c r="I25" i="1" s="1"/>
  <c r="U21" i="1"/>
  <c r="I21" i="1" s="1"/>
  <c r="U17" i="1"/>
  <c r="I17" i="1" s="1"/>
  <c r="U13" i="1"/>
  <c r="I13" i="1" s="1"/>
  <c r="G34" i="1"/>
  <c r="T12" i="1"/>
  <c r="U12" i="1" s="1"/>
  <c r="I12" i="1" s="1"/>
  <c r="P34" i="1"/>
  <c r="J18" i="1" l="1"/>
  <c r="J18" i="11"/>
  <c r="J30" i="1"/>
  <c r="J30" i="11"/>
  <c r="J16" i="1"/>
  <c r="J16" i="11"/>
  <c r="J12" i="1"/>
  <c r="I35" i="1"/>
  <c r="J12" i="11"/>
  <c r="J32" i="1"/>
  <c r="J32" i="11"/>
  <c r="J28" i="1"/>
  <c r="J28" i="11"/>
  <c r="J21" i="1"/>
  <c r="J21" i="11"/>
  <c r="J22" i="1"/>
  <c r="J22" i="11"/>
  <c r="J29" i="1"/>
  <c r="J29" i="11"/>
  <c r="J13" i="1"/>
  <c r="J13" i="11"/>
  <c r="J17" i="1"/>
  <c r="J17" i="11"/>
  <c r="J14" i="1"/>
  <c r="J14" i="11"/>
  <c r="J19" i="1"/>
  <c r="J19" i="11"/>
  <c r="J25" i="1"/>
  <c r="J25" i="11"/>
  <c r="J27" i="1"/>
  <c r="J27" i="11"/>
  <c r="J24" i="1"/>
  <c r="J24" i="11"/>
  <c r="E34" i="1"/>
  <c r="T34" i="1"/>
  <c r="U34" i="1" s="1"/>
  <c r="I34" i="1" s="1"/>
  <c r="J34" i="1" l="1"/>
  <c r="J34" i="11"/>
  <c r="J35" i="1"/>
  <c r="J35" i="11"/>
</calcChain>
</file>

<file path=xl/sharedStrings.xml><?xml version="1.0" encoding="utf-8"?>
<sst xmlns="http://schemas.openxmlformats.org/spreadsheetml/2006/main" count="927" uniqueCount="83">
  <si>
    <t>Average 9-Month Equivalent Salary ($ Thousands)</t>
  </si>
  <si>
    <t>Annual</t>
  </si>
  <si>
    <t>Prof.</t>
  </si>
  <si>
    <t>Assoc.</t>
  </si>
  <si>
    <t>Asst.</t>
  </si>
  <si>
    <t>Avg.</t>
  </si>
  <si>
    <t>Change</t>
  </si>
  <si>
    <t>Pittsburgh, University of</t>
  </si>
  <si>
    <t>Number of Faculty</t>
  </si>
  <si>
    <t>PR</t>
  </si>
  <si>
    <t>AO</t>
  </si>
  <si>
    <t>AI</t>
  </si>
  <si>
    <t>Total</t>
  </si>
  <si>
    <t>Faculty</t>
  </si>
  <si>
    <t>Salary Amount ($ Thousands)</t>
  </si>
  <si>
    <t>Salary</t>
  </si>
  <si>
    <t>Average</t>
  </si>
  <si>
    <t>Source: AAUP Faculty Salary Survey</t>
  </si>
  <si>
    <t>IR&amp;P 8/14</t>
  </si>
  <si>
    <t xml:space="preserve">Note: The annual change in average salary reflects additional faculty hired and/or promotions. </t>
  </si>
  <si>
    <t>URBAN 21</t>
  </si>
  <si>
    <t>FACULTY SALARIES AT URBAN 21 INSTITUTIONS (2013-2014)</t>
  </si>
  <si>
    <t>TABLE 3.33</t>
  </si>
  <si>
    <t>Alabama, University of -- Birmingham</t>
  </si>
  <si>
    <t>Cincinnati, University of</t>
  </si>
  <si>
    <t>Cleveland State University</t>
  </si>
  <si>
    <t>Florida International University</t>
  </si>
  <si>
    <t>Georgia State University</t>
  </si>
  <si>
    <t>Houston, University of</t>
  </si>
  <si>
    <t>Illinois, University of -- Chicago</t>
  </si>
  <si>
    <t>Indiana Univ.-Purdue Univ. -- Indianapolis</t>
  </si>
  <si>
    <t>Massachusetts, University of -- Boston</t>
  </si>
  <si>
    <t>Memphis, University of</t>
  </si>
  <si>
    <t>Missouri, University of -- Kansas City</t>
  </si>
  <si>
    <t>Missouri, University of -- St. Louis</t>
  </si>
  <si>
    <t>New Orleans, University of</t>
  </si>
  <si>
    <t>Portland State University</t>
  </si>
  <si>
    <t>Temple University</t>
  </si>
  <si>
    <t>Toledo, University of</t>
  </si>
  <si>
    <t>Virginia Commonwealth University</t>
  </si>
  <si>
    <t>Wayne State University</t>
  </si>
  <si>
    <t>Wisconsin, University of -- Milwaukee</t>
  </si>
  <si>
    <t>City University of New York -- City College</t>
  </si>
  <si>
    <t>Urban 21 weighted Average</t>
  </si>
  <si>
    <t>Urban 21 un-weighted Median</t>
  </si>
  <si>
    <t>FACULTY SALARIES AT URBAN 21 INSTITUTIONS (2012-2013)</t>
  </si>
  <si>
    <t>IR&amp;P 4/13</t>
  </si>
  <si>
    <t>FACULTY SALARIES AT URBAN 21 INSTITUTIONS (2011-2012)</t>
  </si>
  <si>
    <t>IR&amp;P 8/12</t>
  </si>
  <si>
    <t>FACULTY SALARIES AT URBAN 21 INSTITUTIONS (2010-2011)</t>
  </si>
  <si>
    <t>IR&amp;P 4/11</t>
  </si>
  <si>
    <t>IR&amp;P 4/10</t>
  </si>
  <si>
    <t>FACULTY SALARIES AT URBAN 21 INSTITUTIONS (2009-2010)</t>
  </si>
  <si>
    <t>FACULTY SALARIES AT URBAN 21 INSTITUTIONS (2008-2009)</t>
  </si>
  <si>
    <t>IR&amp;P 4/09</t>
  </si>
  <si>
    <t>FACULTY SALARIES AT URBAN 21 INSTITUTIONS (2007-2008)</t>
  </si>
  <si>
    <t>IR&amp;P 8/08</t>
  </si>
  <si>
    <t>FACULTY SALARIES AT URBAN 21 INSTITUTIONS (2014-2015)</t>
  </si>
  <si>
    <t>2006-2007</t>
  </si>
  <si>
    <t>UNIVERSITY OF MISSOURI-KANSAS CITY</t>
  </si>
  <si>
    <t>UNIVERSITY OF MISSOURI-ST. LOUIS</t>
  </si>
  <si>
    <t>IR&amp;P 8/15</t>
  </si>
  <si>
    <t xml:space="preserve">Notes: The annual change in average salary reflects additional faculty hired and/or promotions. </t>
  </si>
  <si>
    <t xml:space="preserve">             Prior to FY16, includes only faculty identified as Instruction.  Starting FY16, includes Instruction</t>
  </si>
  <si>
    <t xml:space="preserve">             and those considered combined Instruction/Research/Public Service.</t>
  </si>
  <si>
    <t>FACULTY SALARIES AT URBAN 21 INSTITUTIONS (2015-2016)</t>
  </si>
  <si>
    <t>IR&amp;P 8/16</t>
  </si>
  <si>
    <t>FACULTY SALARIES AT URBAN 21 INSTITUTIONS (2016-2017)</t>
  </si>
  <si>
    <t>UM-IR 8/17</t>
  </si>
  <si>
    <t>FACULTY SALARIES AT URBAN 21 INSTITUTIONS (2017-2018)</t>
  </si>
  <si>
    <t>UM-IR 4/18</t>
  </si>
  <si>
    <t>FACULTY SALARIES AT URBAN 21 INSTITUTIONS (2018-2019)</t>
  </si>
  <si>
    <t>UM-IR 4/19</t>
  </si>
  <si>
    <t>FACULTY SALARIES AT URBAN 21 INSTITUTIONS (2019-2020)</t>
  </si>
  <si>
    <t>UM-IR 8/20</t>
  </si>
  <si>
    <t>FACULTY SALARIES AT URBAN 21 INSTITUTIONS (2020-2021)</t>
  </si>
  <si>
    <t>UM-IR 7/21</t>
  </si>
  <si>
    <t>FACULTY SALARIES AT URBAN 21 INSTITUTIONS (2021-2022)</t>
  </si>
  <si>
    <t>UM-IR 7/22</t>
  </si>
  <si>
    <t>FACULTY SALARIES AT URBAN 21 INSTITUTIONS (2022-2023)</t>
  </si>
  <si>
    <t>UM-IR 8/23</t>
  </si>
  <si>
    <t>FACULTY SALARIES AT URBAN 21 INSTITUTIONS (2023-2024)</t>
  </si>
  <si>
    <t>UM-IR 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</si>
</sst>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ms Rmn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/>
    <xf numFmtId="0" fontId="5" fillId="0" borderId="0" xfId="0" applyFont="1"/>
    <xf numFmtId="0" fontId="2" fillId="0" borderId="4" xfId="1" applyFont="1" applyBorder="1"/>
    <xf numFmtId="0" fontId="2" fillId="0" borderId="7" xfId="1" applyFont="1" applyBorder="1"/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8" xfId="1" applyFont="1" applyBorder="1"/>
    <xf numFmtId="0" fontId="2" fillId="0" borderId="8" xfId="1" applyFont="1" applyBorder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164" fontId="1" fillId="0" borderId="0" xfId="0" applyNumberFormat="1" applyFont="1"/>
    <xf numFmtId="0" fontId="1" fillId="0" borderId="9" xfId="0" applyFont="1" applyBorder="1"/>
    <xf numFmtId="0" fontId="1" fillId="0" borderId="5" xfId="0" applyFont="1" applyBorder="1"/>
    <xf numFmtId="0" fontId="1" fillId="0" borderId="10" xfId="0" applyFont="1" applyBorder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1" fontId="2" fillId="0" borderId="0" xfId="1" applyNumberFormat="1" applyFont="1"/>
    <xf numFmtId="164" fontId="2" fillId="0" borderId="0" xfId="1" applyNumberFormat="1" applyFont="1"/>
    <xf numFmtId="1" fontId="2" fillId="0" borderId="0" xfId="0" applyNumberFormat="1" applyFont="1"/>
    <xf numFmtId="0" fontId="7" fillId="0" borderId="0" xfId="0" applyFont="1"/>
    <xf numFmtId="1" fontId="1" fillId="0" borderId="0" xfId="0" applyNumberFormat="1" applyFont="1"/>
    <xf numFmtId="164" fontId="7" fillId="0" borderId="0" xfId="0" applyNumberFormat="1" applyFont="1"/>
    <xf numFmtId="0" fontId="2" fillId="0" borderId="5" xfId="1" applyFont="1" applyBorder="1"/>
    <xf numFmtId="165" fontId="2" fillId="0" borderId="5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5" fontId="1" fillId="0" borderId="0" xfId="0" applyNumberFormat="1" applyFont="1"/>
    <xf numFmtId="165" fontId="7" fillId="0" borderId="0" xfId="0" applyNumberFormat="1" applyFont="1"/>
    <xf numFmtId="165" fontId="1" fillId="2" borderId="0" xfId="0" applyNumberFormat="1" applyFont="1" applyFill="1"/>
    <xf numFmtId="3" fontId="5" fillId="0" borderId="0" xfId="0" applyNumberFormat="1" applyFont="1" applyAlignment="1">
      <alignment horizontal="center" vertical="center"/>
    </xf>
    <xf numFmtId="3" fontId="2" fillId="3" borderId="0" xfId="0" applyNumberFormat="1" applyFont="1" applyFill="1"/>
    <xf numFmtId="3" fontId="5" fillId="3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1" xfId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C4D4B-3E33-47CD-A546-61E25910C6CF}">
  <dimension ref="A1:U40"/>
  <sheetViews>
    <sheetView tabSelected="1"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81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159.6</v>
      </c>
      <c r="F12" s="18">
        <v>109.6</v>
      </c>
      <c r="G12" s="18">
        <v>90</v>
      </c>
      <c r="I12" s="18">
        <f>U12</f>
        <v>117.70126582278479</v>
      </c>
      <c r="J12" s="42">
        <f>(I12/'Urban 22-23'!I12)-1</f>
        <v>3.5329001617944833E-2</v>
      </c>
      <c r="K12" s="16"/>
      <c r="M12" s="35">
        <f>127+96</f>
        <v>223</v>
      </c>
      <c r="N12" s="35">
        <f>121+92</f>
        <v>213</v>
      </c>
      <c r="O12" s="35">
        <f>79+196</f>
        <v>275</v>
      </c>
      <c r="P12" s="33">
        <f t="shared" ref="P12:R32" si="0">E12*M12</f>
        <v>35590.799999999996</v>
      </c>
      <c r="Q12" s="33">
        <f t="shared" si="0"/>
        <v>23344.799999999999</v>
      </c>
      <c r="R12" s="33">
        <f t="shared" si="0"/>
        <v>24750</v>
      </c>
      <c r="S12" s="33">
        <f t="shared" ref="S12:S32" si="1">M12+N12+O12</f>
        <v>711</v>
      </c>
      <c r="T12" s="33">
        <f t="shared" ref="T12:T32" si="2">P12+Q12+R12</f>
        <v>83685.599999999991</v>
      </c>
      <c r="U12" s="34">
        <f>T12/S12</f>
        <v>117.70126582278479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138</v>
      </c>
      <c r="F13" s="18">
        <v>102.5</v>
      </c>
      <c r="G13" s="18">
        <v>83.4</v>
      </c>
      <c r="I13" s="18">
        <f>U13</f>
        <v>108.61388253241799</v>
      </c>
      <c r="J13" s="42">
        <f>(I13/'Urban 22-23'!I13)-1</f>
        <v>2.8464360339296668E-2</v>
      </c>
      <c r="K13" s="16"/>
      <c r="M13" s="35">
        <f>268+166</f>
        <v>434</v>
      </c>
      <c r="N13" s="35">
        <f>250+240</f>
        <v>490</v>
      </c>
      <c r="O13" s="35">
        <f>169+218</f>
        <v>387</v>
      </c>
      <c r="P13" s="33">
        <f t="shared" si="0"/>
        <v>59892</v>
      </c>
      <c r="Q13" s="33">
        <f t="shared" si="0"/>
        <v>50225</v>
      </c>
      <c r="R13" s="33">
        <f t="shared" si="0"/>
        <v>32275.800000000003</v>
      </c>
      <c r="S13" s="33">
        <f t="shared" si="1"/>
        <v>1311</v>
      </c>
      <c r="T13" s="33">
        <f t="shared" si="2"/>
        <v>142392.79999999999</v>
      </c>
      <c r="U13" s="34">
        <f t="shared" ref="U13:U32" si="3">T13/S13</f>
        <v>108.61388253241799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116.4</v>
      </c>
      <c r="F14" s="18">
        <v>95.8</v>
      </c>
      <c r="G14" s="18">
        <v>86.9</v>
      </c>
      <c r="I14" s="18">
        <f>U14</f>
        <v>99.829816513761472</v>
      </c>
      <c r="J14" s="42">
        <f>(I14/'Urban 22-23'!I14)-1</f>
        <v>1.0625417286349803E-2</v>
      </c>
      <c r="K14" s="16"/>
      <c r="M14" s="35">
        <f>91+47</f>
        <v>138</v>
      </c>
      <c r="N14" s="35">
        <f>88+88</f>
        <v>176</v>
      </c>
      <c r="O14" s="35">
        <f>55+67</f>
        <v>122</v>
      </c>
      <c r="P14" s="33">
        <f t="shared" si="0"/>
        <v>16063.2</v>
      </c>
      <c r="Q14" s="33">
        <f t="shared" si="0"/>
        <v>16860.8</v>
      </c>
      <c r="R14" s="33">
        <f t="shared" si="0"/>
        <v>10601.800000000001</v>
      </c>
      <c r="S14" s="33">
        <f t="shared" si="1"/>
        <v>436</v>
      </c>
      <c r="T14" s="33">
        <f t="shared" si="2"/>
        <v>43525.8</v>
      </c>
      <c r="U14" s="34">
        <f t="shared" si="3"/>
        <v>99.829816513761472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139.69999999999999</v>
      </c>
      <c r="F15" s="18">
        <v>115.5</v>
      </c>
      <c r="G15" s="18">
        <v>95.8</v>
      </c>
      <c r="I15" s="18">
        <f t="shared" ref="I15:I32" si="4">U15</f>
        <v>125.65632653061225</v>
      </c>
      <c r="J15" s="42">
        <f>(I15/'Urban 22-23'!I15)-1</f>
        <v>1.0121452128466712E-2</v>
      </c>
      <c r="K15" s="16"/>
      <c r="M15" s="35">
        <f>167+94</f>
        <v>261</v>
      </c>
      <c r="N15" s="35">
        <f>96+65</f>
        <v>161</v>
      </c>
      <c r="O15" s="35">
        <f>37+31</f>
        <v>68</v>
      </c>
      <c r="P15" s="33">
        <f t="shared" si="0"/>
        <v>36461.699999999997</v>
      </c>
      <c r="Q15" s="33">
        <f t="shared" si="0"/>
        <v>18595.5</v>
      </c>
      <c r="R15" s="33">
        <f t="shared" si="0"/>
        <v>6514.4</v>
      </c>
      <c r="S15" s="33">
        <f t="shared" si="1"/>
        <v>490</v>
      </c>
      <c r="T15" s="33">
        <f t="shared" si="2"/>
        <v>61571.6</v>
      </c>
      <c r="U15" s="34">
        <f t="shared" si="3"/>
        <v>125.65632653061225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157.69999999999999</v>
      </c>
      <c r="F16" s="18">
        <v>111.1</v>
      </c>
      <c r="G16" s="18">
        <v>103.4</v>
      </c>
      <c r="I16" s="18">
        <f t="shared" si="4"/>
        <v>125.48099652375433</v>
      </c>
      <c r="J16" s="42">
        <f>(I16/'Urban 22-23'!I16)-1</f>
        <v>5.9301384557556291E-2</v>
      </c>
      <c r="K16" s="16"/>
      <c r="M16" s="35">
        <f>228+76</f>
        <v>304</v>
      </c>
      <c r="N16" s="35">
        <f>185+146</f>
        <v>331</v>
      </c>
      <c r="O16" s="35">
        <f>107+121</f>
        <v>228</v>
      </c>
      <c r="P16" s="33">
        <f t="shared" si="0"/>
        <v>47940.799999999996</v>
      </c>
      <c r="Q16" s="33">
        <f t="shared" si="0"/>
        <v>36774.1</v>
      </c>
      <c r="R16" s="33">
        <f t="shared" si="0"/>
        <v>23575.200000000001</v>
      </c>
      <c r="S16" s="33">
        <f t="shared" si="1"/>
        <v>863</v>
      </c>
      <c r="T16" s="33">
        <f t="shared" si="2"/>
        <v>108290.09999999999</v>
      </c>
      <c r="U16" s="34">
        <f t="shared" si="3"/>
        <v>125.48099652375433</v>
      </c>
    </row>
    <row r="17" spans="1:21" ht="13.5" customHeight="1" x14ac:dyDescent="0.2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170.8</v>
      </c>
      <c r="F18" s="18">
        <v>113.3</v>
      </c>
      <c r="G18" s="18">
        <v>104.9</v>
      </c>
      <c r="I18" s="18">
        <f t="shared" si="4"/>
        <v>136.78754863813231</v>
      </c>
      <c r="J18" s="42">
        <f>(I18/'Urban 22-23'!I18)-1</f>
        <v>2.5313295379051137E-2</v>
      </c>
      <c r="K18" s="16"/>
      <c r="M18" s="35">
        <f>338+118</f>
        <v>456</v>
      </c>
      <c r="N18" s="35">
        <f>194+131</f>
        <v>325</v>
      </c>
      <c r="O18" s="35">
        <f>128+119</f>
        <v>247</v>
      </c>
      <c r="P18" s="33">
        <f t="shared" si="0"/>
        <v>77884.800000000003</v>
      </c>
      <c r="Q18" s="33">
        <f t="shared" si="0"/>
        <v>36822.5</v>
      </c>
      <c r="R18" s="33">
        <f t="shared" si="0"/>
        <v>25910.300000000003</v>
      </c>
      <c r="S18" s="33">
        <f t="shared" si="1"/>
        <v>1028</v>
      </c>
      <c r="T18" s="33">
        <f t="shared" si="2"/>
        <v>140617.60000000001</v>
      </c>
      <c r="U18" s="34">
        <f t="shared" si="3"/>
        <v>136.78754863813231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184.8</v>
      </c>
      <c r="F19" s="18">
        <v>139.6</v>
      </c>
      <c r="G19" s="18">
        <v>116.9</v>
      </c>
      <c r="I19" s="18">
        <f t="shared" si="4"/>
        <v>146.88611940298506</v>
      </c>
      <c r="J19" s="42">
        <f>(I19/'Urban 22-23'!I19)-1</f>
        <v>0.1069256225491988</v>
      </c>
      <c r="K19" s="16"/>
      <c r="M19" s="35">
        <f>272+170</f>
        <v>442</v>
      </c>
      <c r="N19" s="35">
        <f>223+225</f>
        <v>448</v>
      </c>
      <c r="O19" s="35">
        <f>209+241</f>
        <v>450</v>
      </c>
      <c r="P19" s="33">
        <f t="shared" si="0"/>
        <v>81681.600000000006</v>
      </c>
      <c r="Q19" s="33">
        <f t="shared" si="0"/>
        <v>62540.799999999996</v>
      </c>
      <c r="R19" s="33">
        <f t="shared" si="0"/>
        <v>52605</v>
      </c>
      <c r="S19" s="33">
        <f t="shared" si="1"/>
        <v>1340</v>
      </c>
      <c r="T19" s="33">
        <f t="shared" si="2"/>
        <v>196827.4</v>
      </c>
      <c r="U19" s="34">
        <f t="shared" si="3"/>
        <v>146.88611940298506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123.5</v>
      </c>
      <c r="F20" s="18">
        <v>95.8</v>
      </c>
      <c r="G20" s="18">
        <v>87.3</v>
      </c>
      <c r="I20" s="18">
        <f t="shared" si="4"/>
        <v>102.11146666666667</v>
      </c>
      <c r="J20" s="42">
        <f>(I20/'Urban 22-23'!I20)-1</f>
        <v>1.7552002753877138E-2</v>
      </c>
      <c r="K20" s="16"/>
      <c r="M20" s="35">
        <f>158+85</f>
        <v>243</v>
      </c>
      <c r="N20" s="35">
        <f>131+141</f>
        <v>272</v>
      </c>
      <c r="O20" s="35">
        <f>83+152</f>
        <v>235</v>
      </c>
      <c r="P20" s="33">
        <f t="shared" si="0"/>
        <v>30010.5</v>
      </c>
      <c r="Q20" s="33">
        <f t="shared" si="0"/>
        <v>26057.599999999999</v>
      </c>
      <c r="R20" s="33">
        <f t="shared" si="0"/>
        <v>20515.5</v>
      </c>
      <c r="S20" s="33">
        <f t="shared" si="1"/>
        <v>750</v>
      </c>
      <c r="T20" s="33">
        <f t="shared" si="2"/>
        <v>76583.600000000006</v>
      </c>
      <c r="U20" s="34">
        <f t="shared" si="3"/>
        <v>102.11146666666667</v>
      </c>
    </row>
    <row r="21" spans="1:21" ht="13.5" customHeight="1" x14ac:dyDescent="0.2">
      <c r="A21" s="17"/>
      <c r="C21" s="29">
        <v>10</v>
      </c>
      <c r="D21" s="1" t="s">
        <v>31</v>
      </c>
      <c r="E21" s="18"/>
      <c r="F21" s="18"/>
      <c r="G21" s="18"/>
      <c r="I21" s="18"/>
      <c r="J21" s="42"/>
      <c r="K21" s="16"/>
      <c r="M21" s="35"/>
      <c r="N21" s="35"/>
      <c r="O21" s="35"/>
      <c r="P21" s="33">
        <f t="shared" si="0"/>
        <v>0</v>
      </c>
      <c r="Q21" s="33">
        <f t="shared" si="0"/>
        <v>0</v>
      </c>
      <c r="R21" s="33">
        <f t="shared" si="0"/>
        <v>0</v>
      </c>
      <c r="S21" s="33">
        <f t="shared" si="1"/>
        <v>0</v>
      </c>
      <c r="T21" s="33">
        <f t="shared" si="2"/>
        <v>0</v>
      </c>
      <c r="U21" s="34" t="e">
        <f t="shared" si="3"/>
        <v>#DIV/0!</v>
      </c>
    </row>
    <row r="22" spans="1:21" ht="13.5" customHeight="1" x14ac:dyDescent="0.2">
      <c r="A22" s="17"/>
      <c r="C22" s="29">
        <v>11</v>
      </c>
      <c r="D22" s="1" t="s">
        <v>32</v>
      </c>
      <c r="E22" s="18"/>
      <c r="F22" s="18"/>
      <c r="G22" s="18"/>
      <c r="I22" s="18"/>
      <c r="J22" s="42"/>
      <c r="K22" s="16"/>
      <c r="M22" s="35"/>
      <c r="N22" s="35"/>
      <c r="O22" s="35"/>
      <c r="P22" s="33">
        <f t="shared" si="0"/>
        <v>0</v>
      </c>
      <c r="Q22" s="33">
        <f t="shared" si="0"/>
        <v>0</v>
      </c>
      <c r="R22" s="33">
        <f t="shared" si="0"/>
        <v>0</v>
      </c>
      <c r="S22" s="33">
        <f t="shared" si="1"/>
        <v>0</v>
      </c>
      <c r="T22" s="33">
        <f t="shared" si="2"/>
        <v>0</v>
      </c>
      <c r="U22" s="34" t="e">
        <f t="shared" si="3"/>
        <v>#DIV/0!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122.6</v>
      </c>
      <c r="F23" s="23">
        <v>98.8</v>
      </c>
      <c r="G23" s="23">
        <v>82.7</v>
      </c>
      <c r="H23" s="22"/>
      <c r="I23" s="23">
        <f t="shared" si="4"/>
        <v>101.43877159309021</v>
      </c>
      <c r="J23" s="44">
        <f>(I23/'Urban 22-23'!I23)-1</f>
        <v>5.594022068661153E-2</v>
      </c>
      <c r="K23" s="16"/>
      <c r="M23" s="35">
        <f>94+72</f>
        <v>166</v>
      </c>
      <c r="N23" s="35">
        <f>107+88</f>
        <v>195</v>
      </c>
      <c r="O23" s="35">
        <f>68+92</f>
        <v>160</v>
      </c>
      <c r="P23" s="33">
        <f t="shared" si="0"/>
        <v>20351.599999999999</v>
      </c>
      <c r="Q23" s="33">
        <f t="shared" si="0"/>
        <v>19266</v>
      </c>
      <c r="R23" s="33">
        <f t="shared" si="0"/>
        <v>13232</v>
      </c>
      <c r="S23" s="33">
        <f t="shared" si="1"/>
        <v>521</v>
      </c>
      <c r="T23" s="33">
        <f t="shared" si="2"/>
        <v>52849.599999999999</v>
      </c>
      <c r="U23" s="34">
        <f t="shared" si="3"/>
        <v>101.43877159309021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111.6</v>
      </c>
      <c r="F24" s="23">
        <v>85.6</v>
      </c>
      <c r="G24" s="23">
        <v>79.900000000000006</v>
      </c>
      <c r="H24" s="22"/>
      <c r="I24" s="23">
        <f t="shared" si="4"/>
        <v>92.001662049861494</v>
      </c>
      <c r="J24" s="44">
        <f>(I24/'Urban 22-23'!I24)-1</f>
        <v>4.3161880490520943E-2</v>
      </c>
      <c r="K24" s="16"/>
      <c r="M24" s="35">
        <f>67+46</f>
        <v>113</v>
      </c>
      <c r="N24" s="35">
        <f>58+80</f>
        <v>138</v>
      </c>
      <c r="O24" s="35">
        <f>33+77</f>
        <v>110</v>
      </c>
      <c r="P24" s="33">
        <f t="shared" si="0"/>
        <v>12610.8</v>
      </c>
      <c r="Q24" s="33">
        <f t="shared" si="0"/>
        <v>11812.8</v>
      </c>
      <c r="R24" s="33">
        <f t="shared" si="0"/>
        <v>8789</v>
      </c>
      <c r="S24" s="33">
        <f t="shared" si="1"/>
        <v>361</v>
      </c>
      <c r="T24" s="33">
        <f t="shared" si="2"/>
        <v>33212.6</v>
      </c>
      <c r="U24" s="34">
        <f t="shared" si="3"/>
        <v>92.001662049861494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103.3</v>
      </c>
      <c r="F25" s="18">
        <v>88.7</v>
      </c>
      <c r="G25" s="18">
        <v>84.7</v>
      </c>
      <c r="I25" s="18">
        <f t="shared" si="4"/>
        <v>93.810614525139655</v>
      </c>
      <c r="J25" s="42">
        <f>(I25/'Urban 22-23'!I25)-1</f>
        <v>4.0532144543538706E-2</v>
      </c>
      <c r="K25" s="16"/>
      <c r="M25" s="35">
        <f>61+17</f>
        <v>78</v>
      </c>
      <c r="N25" s="35">
        <f>33+12</f>
        <v>45</v>
      </c>
      <c r="O25" s="35">
        <f>34+22</f>
        <v>56</v>
      </c>
      <c r="P25" s="33">
        <f t="shared" si="0"/>
        <v>8057.4</v>
      </c>
      <c r="Q25" s="33">
        <f t="shared" si="0"/>
        <v>3991.5</v>
      </c>
      <c r="R25" s="33">
        <f t="shared" si="0"/>
        <v>4743.2</v>
      </c>
      <c r="S25" s="33">
        <f t="shared" si="1"/>
        <v>179</v>
      </c>
      <c r="T25" s="33">
        <f t="shared" si="2"/>
        <v>16792.099999999999</v>
      </c>
      <c r="U25" s="34">
        <f t="shared" si="3"/>
        <v>93.810614525139655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152.30000000000001</v>
      </c>
      <c r="F26" s="18">
        <v>103.9</v>
      </c>
      <c r="G26" s="18">
        <v>86.7</v>
      </c>
      <c r="I26" s="18">
        <f t="shared" si="4"/>
        <v>113.41995346131473</v>
      </c>
      <c r="J26" s="42">
        <f>(I26/'Urban 22-23'!I26)-1</f>
        <v>-9.1072145732460363E-3</v>
      </c>
      <c r="K26" s="16"/>
      <c r="M26" s="35">
        <f>346+216</f>
        <v>562</v>
      </c>
      <c r="N26" s="35">
        <f>265+262</f>
        <v>527</v>
      </c>
      <c r="O26" s="35">
        <f>263+367</f>
        <v>630</v>
      </c>
      <c r="P26" s="33">
        <f t="shared" si="0"/>
        <v>85592.6</v>
      </c>
      <c r="Q26" s="33">
        <f t="shared" si="0"/>
        <v>54755.3</v>
      </c>
      <c r="R26" s="33">
        <f t="shared" si="0"/>
        <v>54621</v>
      </c>
      <c r="S26" s="33">
        <f t="shared" si="1"/>
        <v>1719</v>
      </c>
      <c r="T26" s="33">
        <f t="shared" si="2"/>
        <v>194968.90000000002</v>
      </c>
      <c r="U26" s="34">
        <f t="shared" si="3"/>
        <v>113.41995346131473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127.8</v>
      </c>
      <c r="F27" s="18">
        <v>100.4</v>
      </c>
      <c r="G27" s="18">
        <v>83.1</v>
      </c>
      <c r="I27" s="18">
        <f t="shared" si="4"/>
        <v>105.66232558139536</v>
      </c>
      <c r="J27" s="42">
        <f>(I27/'Urban 22-23'!I27)-1</f>
        <v>5.1696085140436221E-2</v>
      </c>
      <c r="K27" s="16"/>
      <c r="M27" s="35">
        <f>149+86</f>
        <v>235</v>
      </c>
      <c r="N27" s="35">
        <f>116+118</f>
        <v>234</v>
      </c>
      <c r="O27" s="35">
        <f>64+112</f>
        <v>176</v>
      </c>
      <c r="P27" s="33">
        <f t="shared" si="0"/>
        <v>30033</v>
      </c>
      <c r="Q27" s="33">
        <f t="shared" si="0"/>
        <v>23493.600000000002</v>
      </c>
      <c r="R27" s="33">
        <f t="shared" si="0"/>
        <v>14625.599999999999</v>
      </c>
      <c r="S27" s="33">
        <f t="shared" si="1"/>
        <v>645</v>
      </c>
      <c r="T27" s="33">
        <f t="shared" si="2"/>
        <v>68152.200000000012</v>
      </c>
      <c r="U27" s="34">
        <f t="shared" si="3"/>
        <v>105.66232558139536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171.4</v>
      </c>
      <c r="F28" s="18">
        <v>117.4</v>
      </c>
      <c r="G28" s="18">
        <v>94.5</v>
      </c>
      <c r="I28" s="18">
        <f t="shared" si="4"/>
        <v>126.28326241134754</v>
      </c>
      <c r="J28" s="42">
        <f>(I28/'Urban 22-23'!I28)-1</f>
        <v>2.0501745722639519E-2</v>
      </c>
      <c r="K28" s="16"/>
      <c r="M28" s="35">
        <f>272+144</f>
        <v>416</v>
      </c>
      <c r="N28" s="35">
        <f>288+272</f>
        <v>560</v>
      </c>
      <c r="O28" s="35">
        <f>204+230</f>
        <v>434</v>
      </c>
      <c r="P28" s="33">
        <f t="shared" si="0"/>
        <v>71302.400000000009</v>
      </c>
      <c r="Q28" s="33">
        <f t="shared" si="0"/>
        <v>65744</v>
      </c>
      <c r="R28" s="33">
        <f t="shared" si="0"/>
        <v>41013</v>
      </c>
      <c r="S28" s="33">
        <f t="shared" si="1"/>
        <v>1410</v>
      </c>
      <c r="T28" s="33">
        <f t="shared" si="2"/>
        <v>178059.40000000002</v>
      </c>
      <c r="U28" s="34">
        <f t="shared" si="3"/>
        <v>126.28326241134754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116.2</v>
      </c>
      <c r="F29" s="18">
        <v>97.3</v>
      </c>
      <c r="G29" s="18">
        <v>86.1</v>
      </c>
      <c r="I29" s="18">
        <f t="shared" si="4"/>
        <v>103.48248175182481</v>
      </c>
      <c r="J29" s="42">
        <f>(I29/'Urban 22-23'!I29)-1</f>
        <v>3.4249028760244826E-3</v>
      </c>
      <c r="K29" s="16"/>
      <c r="M29" s="35">
        <f>125+61</f>
        <v>186</v>
      </c>
      <c r="N29" s="35">
        <f>85+53</f>
        <v>138</v>
      </c>
      <c r="O29" s="35">
        <f>34+53</f>
        <v>87</v>
      </c>
      <c r="P29" s="33">
        <f t="shared" si="0"/>
        <v>21613.200000000001</v>
      </c>
      <c r="Q29" s="33">
        <f t="shared" si="0"/>
        <v>13427.4</v>
      </c>
      <c r="R29" s="33">
        <f t="shared" si="0"/>
        <v>7490.7</v>
      </c>
      <c r="S29" s="33">
        <f t="shared" si="1"/>
        <v>411</v>
      </c>
      <c r="T29" s="33">
        <f t="shared" si="2"/>
        <v>42531.299999999996</v>
      </c>
      <c r="U29" s="34">
        <f t="shared" si="3"/>
        <v>103.48248175182481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159.19999999999999</v>
      </c>
      <c r="F30" s="18">
        <v>113.1</v>
      </c>
      <c r="G30" s="18">
        <v>85.3</v>
      </c>
      <c r="I30" s="18">
        <f t="shared" si="4"/>
        <v>112.29916457811193</v>
      </c>
      <c r="J30" s="42">
        <f>(I30/'Urban 22-23'!I30)-1</f>
        <v>5.5340553619790844E-2</v>
      </c>
      <c r="K30" s="16"/>
      <c r="M30" s="35">
        <f>170+86</f>
        <v>256</v>
      </c>
      <c r="N30" s="35">
        <f>240+242</f>
        <v>482</v>
      </c>
      <c r="O30" s="35">
        <f>192+267</f>
        <v>459</v>
      </c>
      <c r="P30" s="33">
        <f t="shared" si="0"/>
        <v>40755.199999999997</v>
      </c>
      <c r="Q30" s="33">
        <f t="shared" si="0"/>
        <v>54514.2</v>
      </c>
      <c r="R30" s="33">
        <f t="shared" si="0"/>
        <v>39152.699999999997</v>
      </c>
      <c r="S30" s="33">
        <f t="shared" si="1"/>
        <v>1197</v>
      </c>
      <c r="T30" s="33">
        <f t="shared" si="2"/>
        <v>134422.09999999998</v>
      </c>
      <c r="U30" s="34">
        <f t="shared" si="3"/>
        <v>112.29916457811193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143.4</v>
      </c>
      <c r="F31" s="18">
        <v>98.5</v>
      </c>
      <c r="G31" s="18">
        <v>85.9</v>
      </c>
      <c r="I31" s="18">
        <f t="shared" si="4"/>
        <v>107.66356993736953</v>
      </c>
      <c r="J31" s="42">
        <f>(I31/'Urban 22-23'!I31)-1</f>
        <v>2.7521492202508213E-2</v>
      </c>
      <c r="K31" s="16"/>
      <c r="M31" s="35">
        <f>196+91</f>
        <v>287</v>
      </c>
      <c r="N31" s="35">
        <f>152+193</f>
        <v>345</v>
      </c>
      <c r="O31" s="35">
        <f>144+182</f>
        <v>326</v>
      </c>
      <c r="P31" s="33">
        <f t="shared" si="0"/>
        <v>41155.800000000003</v>
      </c>
      <c r="Q31" s="33">
        <f t="shared" si="0"/>
        <v>33982.5</v>
      </c>
      <c r="R31" s="33">
        <f t="shared" si="0"/>
        <v>28003.4</v>
      </c>
      <c r="S31" s="33">
        <f t="shared" si="1"/>
        <v>958</v>
      </c>
      <c r="T31" s="33">
        <f t="shared" si="2"/>
        <v>103141.70000000001</v>
      </c>
      <c r="U31" s="34">
        <f t="shared" si="3"/>
        <v>107.66356993736953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114.5</v>
      </c>
      <c r="F32" s="18">
        <v>88.3</v>
      </c>
      <c r="G32" s="18">
        <v>80.400000000000006</v>
      </c>
      <c r="I32" s="18">
        <f t="shared" si="4"/>
        <v>94.885606060606051</v>
      </c>
      <c r="J32" s="42">
        <f>(I32/'Urban 22-23'!I32)-1</f>
        <v>4.1158035949422356E-3</v>
      </c>
      <c r="K32" s="16"/>
      <c r="M32" s="35">
        <f>172+91</f>
        <v>263</v>
      </c>
      <c r="N32" s="35">
        <f>170+147</f>
        <v>317</v>
      </c>
      <c r="O32" s="35">
        <f>88+124</f>
        <v>212</v>
      </c>
      <c r="P32" s="33">
        <f t="shared" si="0"/>
        <v>30113.5</v>
      </c>
      <c r="Q32" s="33">
        <f t="shared" si="0"/>
        <v>27991.1</v>
      </c>
      <c r="R32" s="33">
        <f t="shared" si="0"/>
        <v>17044.800000000003</v>
      </c>
      <c r="S32" s="33">
        <f t="shared" si="1"/>
        <v>792</v>
      </c>
      <c r="T32" s="33">
        <f t="shared" si="2"/>
        <v>75149.399999999994</v>
      </c>
      <c r="U32" s="34">
        <f t="shared" si="3"/>
        <v>94.885606060606051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147.56288761603793</v>
      </c>
      <c r="F34" s="38">
        <f>Q34/N34</f>
        <v>107.50407633870667</v>
      </c>
      <c r="G34" s="38">
        <f t="shared" ref="G34" si="5">R34/O34</f>
        <v>91.261990561990572</v>
      </c>
      <c r="H34" s="36"/>
      <c r="I34" s="38">
        <f t="shared" ref="I34" si="6">U34</f>
        <v>115.90886126173785</v>
      </c>
      <c r="J34" s="43">
        <f>(I34/'Urban 22-23'!I34)-1</f>
        <v>3.9122363147864769E-2</v>
      </c>
      <c r="K34" s="16"/>
      <c r="M34" s="37">
        <f t="shared" ref="M34:R34" si="7">SUM(M12:M32)</f>
        <v>5063</v>
      </c>
      <c r="N34" s="37">
        <f t="shared" si="7"/>
        <v>5397</v>
      </c>
      <c r="O34" s="37">
        <f t="shared" si="7"/>
        <v>4662</v>
      </c>
      <c r="P34" s="37">
        <f t="shared" si="7"/>
        <v>747110.9</v>
      </c>
      <c r="Q34" s="37">
        <f t="shared" si="7"/>
        <v>580199.49999999988</v>
      </c>
      <c r="R34" s="37">
        <f t="shared" si="7"/>
        <v>425463.4</v>
      </c>
      <c r="S34" s="33">
        <f>M34+N34+O34</f>
        <v>15122</v>
      </c>
      <c r="T34" s="33">
        <f>P34+Q34+R34</f>
        <v>1752773.7999999998</v>
      </c>
      <c r="U34" s="34">
        <f>T34/S34</f>
        <v>115.90886126173785</v>
      </c>
    </row>
    <row r="35" spans="1:21" ht="13.5" customHeight="1" x14ac:dyDescent="0.2">
      <c r="A35" s="17"/>
      <c r="D35" s="41" t="s">
        <v>44</v>
      </c>
      <c r="E35" s="38">
        <f>MEDIAN(E12:E32)</f>
        <v>138.85</v>
      </c>
      <c r="F35" s="38">
        <f>MEDIAN(F12:F32)</f>
        <v>101.45</v>
      </c>
      <c r="G35" s="38">
        <f>MEDIAN(G12:G32)</f>
        <v>86.4</v>
      </c>
      <c r="H35" s="36"/>
      <c r="I35" s="38">
        <f>MEDIAN(I12:I32)</f>
        <v>108.13872623489377</v>
      </c>
      <c r="J35" s="43">
        <f>(I35/'Urban 22-23'!I35)-1</f>
        <v>2.7994781534917745E-2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19</v>
      </c>
      <c r="K38" s="16"/>
    </row>
    <row r="39" spans="1:21" ht="13.5" customHeight="1" x14ac:dyDescent="0.2">
      <c r="A39" s="17"/>
      <c r="B39" s="14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82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57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132.9</v>
      </c>
      <c r="F12" s="18">
        <v>87.9</v>
      </c>
      <c r="G12" s="18">
        <v>76.099999999999994</v>
      </c>
      <c r="I12" s="18">
        <f>U12</f>
        <v>95.300969305331179</v>
      </c>
      <c r="J12" s="42">
        <f>(I12/'Urban 13-14'!I12)-1</f>
        <v>1.8797804762849424E-2</v>
      </c>
      <c r="K12" s="16"/>
      <c r="M12" s="35">
        <f>114+51</f>
        <v>165</v>
      </c>
      <c r="N12" s="35">
        <f>116+97</f>
        <v>213</v>
      </c>
      <c r="O12" s="35">
        <f>110+131</f>
        <v>241</v>
      </c>
      <c r="P12" s="33">
        <f t="shared" ref="P12:R32" si="0">E12*M12</f>
        <v>21928.5</v>
      </c>
      <c r="Q12" s="33">
        <f t="shared" si="0"/>
        <v>18722.7</v>
      </c>
      <c r="R12" s="33">
        <f t="shared" si="0"/>
        <v>18340.099999999999</v>
      </c>
      <c r="S12" s="33">
        <f t="shared" ref="S12:S32" si="1">M12+N12+O12</f>
        <v>619</v>
      </c>
      <c r="T12" s="33">
        <f t="shared" ref="T12:T32" si="2">P12+Q12+R12</f>
        <v>58991.299999999996</v>
      </c>
      <c r="U12" s="34">
        <f>T12/S12</f>
        <v>95.300969305331179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116.4</v>
      </c>
      <c r="F13" s="18">
        <v>80.599999999999994</v>
      </c>
      <c r="G13" s="18">
        <v>69.400000000000006</v>
      </c>
      <c r="I13" s="18">
        <f t="shared" ref="I13:I32" si="3">U13</f>
        <v>89.073455759599327</v>
      </c>
      <c r="J13" s="42">
        <f>(I13/'Urban 13-14'!I13)-1</f>
        <v>3.5149008533737591E-2</v>
      </c>
      <c r="K13" s="16"/>
      <c r="M13" s="35">
        <f>296+108</f>
        <v>404</v>
      </c>
      <c r="N13" s="35">
        <f>210+199</f>
        <v>409</v>
      </c>
      <c r="O13" s="35">
        <f>184+201</f>
        <v>385</v>
      </c>
      <c r="P13" s="33">
        <f t="shared" si="0"/>
        <v>47025.600000000006</v>
      </c>
      <c r="Q13" s="33">
        <f t="shared" si="0"/>
        <v>32965.399999999994</v>
      </c>
      <c r="R13" s="33">
        <f t="shared" si="0"/>
        <v>26719.000000000004</v>
      </c>
      <c r="S13" s="33">
        <f t="shared" si="1"/>
        <v>1198</v>
      </c>
      <c r="T13" s="33">
        <f t="shared" si="2"/>
        <v>106710</v>
      </c>
      <c r="U13" s="34">
        <f t="shared" ref="U13:U32" si="4">T13/S13</f>
        <v>89.073455759599327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101.1</v>
      </c>
      <c r="F14" s="18">
        <v>74.900000000000006</v>
      </c>
      <c r="G14" s="18">
        <v>71.400000000000006</v>
      </c>
      <c r="I14" s="18">
        <f t="shared" si="3"/>
        <v>82.25593607305936</v>
      </c>
      <c r="J14" s="42">
        <f>(I14/'Urban 13-14'!I14)-1</f>
        <v>-9.624640297919429E-4</v>
      </c>
      <c r="K14" s="16"/>
      <c r="M14" s="35">
        <f>97+40</f>
        <v>137</v>
      </c>
      <c r="N14" s="35">
        <f>120+76</f>
        <v>196</v>
      </c>
      <c r="O14" s="35">
        <f>45+60</f>
        <v>105</v>
      </c>
      <c r="P14" s="33">
        <f t="shared" si="0"/>
        <v>13850.699999999999</v>
      </c>
      <c r="Q14" s="33">
        <f t="shared" si="0"/>
        <v>14680.400000000001</v>
      </c>
      <c r="R14" s="33">
        <f t="shared" si="0"/>
        <v>7497.0000000000009</v>
      </c>
      <c r="S14" s="33">
        <f t="shared" si="1"/>
        <v>438</v>
      </c>
      <c r="T14" s="33">
        <f t="shared" si="2"/>
        <v>36028.1</v>
      </c>
      <c r="U14" s="34">
        <f t="shared" si="4"/>
        <v>82.25593607305936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100.2</v>
      </c>
      <c r="F15" s="18">
        <v>76.400000000000006</v>
      </c>
      <c r="G15" s="18">
        <v>63.8</v>
      </c>
      <c r="I15" s="18">
        <f t="shared" ref="I15" si="5">U15</f>
        <v>83.045601436265713</v>
      </c>
      <c r="J15" s="42">
        <f>(I15/'Urban 13-14'!I15)-1</f>
        <v>-4.4855161205019645E-3</v>
      </c>
      <c r="K15" s="16"/>
      <c r="M15" s="35">
        <f>170+66</f>
        <v>236</v>
      </c>
      <c r="N15" s="35">
        <f>95+74</f>
        <v>169</v>
      </c>
      <c r="O15" s="35">
        <f>73+79</f>
        <v>152</v>
      </c>
      <c r="P15" s="33">
        <f t="shared" si="0"/>
        <v>23647.200000000001</v>
      </c>
      <c r="Q15" s="33">
        <f t="shared" si="0"/>
        <v>12911.6</v>
      </c>
      <c r="R15" s="33">
        <f t="shared" si="0"/>
        <v>9697.6</v>
      </c>
      <c r="S15" s="33">
        <f t="shared" si="1"/>
        <v>557</v>
      </c>
      <c r="T15" s="33">
        <f t="shared" si="2"/>
        <v>46256.4</v>
      </c>
      <c r="U15" s="34">
        <f t="shared" si="4"/>
        <v>83.045601436265713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119.9</v>
      </c>
      <c r="F16" s="18">
        <v>90.6</v>
      </c>
      <c r="G16" s="18">
        <v>82.1</v>
      </c>
      <c r="I16" s="18">
        <f t="shared" si="3"/>
        <v>96.434021871202916</v>
      </c>
      <c r="J16" s="42">
        <f>(I16/'Urban 13-14'!I16)-1</f>
        <v>3.0200266780950891E-3</v>
      </c>
      <c r="K16" s="16"/>
      <c r="M16" s="35">
        <f>189+59</f>
        <v>248</v>
      </c>
      <c r="N16" s="35">
        <f>169+116</f>
        <v>285</v>
      </c>
      <c r="O16" s="35">
        <f>144+146</f>
        <v>290</v>
      </c>
      <c r="P16" s="33">
        <f t="shared" si="0"/>
        <v>29735.200000000001</v>
      </c>
      <c r="Q16" s="33">
        <f t="shared" si="0"/>
        <v>25821</v>
      </c>
      <c r="R16" s="33">
        <f t="shared" si="0"/>
        <v>23809</v>
      </c>
      <c r="S16" s="33">
        <f t="shared" si="1"/>
        <v>823</v>
      </c>
      <c r="T16" s="33">
        <f t="shared" si="2"/>
        <v>79365.2</v>
      </c>
      <c r="U16" s="34">
        <f t="shared" si="4"/>
        <v>96.434021871202916</v>
      </c>
    </row>
    <row r="17" spans="1:21" ht="13.5" customHeight="1" x14ac:dyDescent="0.2">
      <c r="A17" s="17"/>
      <c r="C17" s="29">
        <v>6</v>
      </c>
      <c r="D17" s="1" t="s">
        <v>27</v>
      </c>
      <c r="E17" s="18">
        <v>124.6</v>
      </c>
      <c r="F17" s="18">
        <v>83.4</v>
      </c>
      <c r="G17" s="18">
        <v>81.5</v>
      </c>
      <c r="I17" s="18">
        <f t="shared" si="3"/>
        <v>95.031178310740344</v>
      </c>
      <c r="J17" s="42">
        <f>(I17/'Urban 13-14'!I17)-1</f>
        <v>6.4350810412046489E-2</v>
      </c>
      <c r="K17" s="16"/>
      <c r="M17" s="35">
        <f>197+89</f>
        <v>286</v>
      </c>
      <c r="N17" s="35">
        <f>176+166</f>
        <v>342</v>
      </c>
      <c r="O17" s="35">
        <f>162+169</f>
        <v>331</v>
      </c>
      <c r="P17" s="33">
        <f t="shared" si="0"/>
        <v>35635.599999999999</v>
      </c>
      <c r="Q17" s="33">
        <f t="shared" si="0"/>
        <v>28522.800000000003</v>
      </c>
      <c r="R17" s="33">
        <f t="shared" si="0"/>
        <v>26976.5</v>
      </c>
      <c r="S17" s="33">
        <f t="shared" si="1"/>
        <v>959</v>
      </c>
      <c r="T17" s="33">
        <f t="shared" si="2"/>
        <v>91134.9</v>
      </c>
      <c r="U17" s="34">
        <f t="shared" si="4"/>
        <v>95.031178310740344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139.80000000000001</v>
      </c>
      <c r="F18" s="18">
        <v>93</v>
      </c>
      <c r="G18" s="18">
        <v>88.2</v>
      </c>
      <c r="I18" s="18">
        <f t="shared" si="3"/>
        <v>111.96634920634922</v>
      </c>
      <c r="J18" s="42">
        <f>(I18/'Urban 13-14'!I18)-1</f>
        <v>6.7374665454869032E-3</v>
      </c>
      <c r="K18" s="16"/>
      <c r="M18" s="35">
        <f>332+72</f>
        <v>404</v>
      </c>
      <c r="N18" s="35">
        <f>209+127</f>
        <v>336</v>
      </c>
      <c r="O18" s="35">
        <f>121+84</f>
        <v>205</v>
      </c>
      <c r="P18" s="33">
        <f t="shared" si="0"/>
        <v>56479.200000000004</v>
      </c>
      <c r="Q18" s="33">
        <f t="shared" si="0"/>
        <v>31248</v>
      </c>
      <c r="R18" s="33">
        <f t="shared" si="0"/>
        <v>18081</v>
      </c>
      <c r="S18" s="33">
        <f t="shared" si="1"/>
        <v>945</v>
      </c>
      <c r="T18" s="33">
        <f t="shared" si="2"/>
        <v>105808.20000000001</v>
      </c>
      <c r="U18" s="34">
        <f t="shared" si="4"/>
        <v>111.96634920634922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141.80000000000001</v>
      </c>
      <c r="F19" s="18">
        <v>101.8</v>
      </c>
      <c r="G19" s="18">
        <v>87.9</v>
      </c>
      <c r="I19" s="18">
        <f t="shared" si="3"/>
        <v>110.54754901960784</v>
      </c>
      <c r="J19" s="42">
        <f>(I19/'Urban 13-14'!I19)-1</f>
        <v>8.6627521263006546E-2</v>
      </c>
      <c r="K19" s="16"/>
      <c r="M19" s="35">
        <f>233+103</f>
        <v>336</v>
      </c>
      <c r="N19" s="35">
        <f>177+182</f>
        <v>359</v>
      </c>
      <c r="O19" s="35">
        <f>159+166</f>
        <v>325</v>
      </c>
      <c r="P19" s="33">
        <f t="shared" si="0"/>
        <v>47644.800000000003</v>
      </c>
      <c r="Q19" s="33">
        <f t="shared" si="0"/>
        <v>36546.199999999997</v>
      </c>
      <c r="R19" s="33">
        <f t="shared" si="0"/>
        <v>28567.500000000004</v>
      </c>
      <c r="S19" s="33">
        <f t="shared" si="1"/>
        <v>1020</v>
      </c>
      <c r="T19" s="33">
        <f t="shared" si="2"/>
        <v>112758.5</v>
      </c>
      <c r="U19" s="34">
        <f t="shared" si="4"/>
        <v>110.54754901960784</v>
      </c>
    </row>
    <row r="20" spans="1:21" ht="13.5" customHeight="1" x14ac:dyDescent="0.2">
      <c r="A20" s="17"/>
      <c r="C20" s="29">
        <v>9</v>
      </c>
      <c r="D20" s="1" t="s">
        <v>30</v>
      </c>
      <c r="E20" s="18"/>
      <c r="F20" s="18"/>
      <c r="G20" s="18"/>
      <c r="I20" s="18"/>
      <c r="J20" s="42"/>
      <c r="K20" s="16"/>
      <c r="M20" s="35"/>
      <c r="N20" s="35"/>
      <c r="O20" s="35"/>
      <c r="P20" s="33">
        <f t="shared" si="0"/>
        <v>0</v>
      </c>
      <c r="Q20" s="33">
        <f t="shared" si="0"/>
        <v>0</v>
      </c>
      <c r="R20" s="33">
        <f t="shared" si="0"/>
        <v>0</v>
      </c>
      <c r="S20" s="33">
        <f t="shared" si="1"/>
        <v>0</v>
      </c>
      <c r="T20" s="33">
        <f t="shared" si="2"/>
        <v>0</v>
      </c>
      <c r="U20" s="34" t="e">
        <f t="shared" si="4"/>
        <v>#DIV/0!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127.7</v>
      </c>
      <c r="F21" s="18">
        <v>98.2</v>
      </c>
      <c r="G21" s="18">
        <v>83.7</v>
      </c>
      <c r="I21" s="18">
        <f t="shared" si="3"/>
        <v>100.32474226804125</v>
      </c>
      <c r="J21" s="42">
        <f>(I21/'Urban 13-14'!I21)-1</f>
        <v>5.8775093281797641E-3</v>
      </c>
      <c r="K21" s="16"/>
      <c r="M21" s="35">
        <f>70+48</f>
        <v>118</v>
      </c>
      <c r="N21" s="35">
        <f>104+94</f>
        <v>198</v>
      </c>
      <c r="O21" s="35">
        <f>76+93</f>
        <v>169</v>
      </c>
      <c r="P21" s="33">
        <f t="shared" si="0"/>
        <v>15068.6</v>
      </c>
      <c r="Q21" s="33">
        <f t="shared" si="0"/>
        <v>19443.600000000002</v>
      </c>
      <c r="R21" s="33">
        <f t="shared" si="0"/>
        <v>14145.300000000001</v>
      </c>
      <c r="S21" s="33">
        <f t="shared" si="1"/>
        <v>485</v>
      </c>
      <c r="T21" s="33">
        <f t="shared" si="2"/>
        <v>48657.500000000007</v>
      </c>
      <c r="U21" s="34">
        <f t="shared" si="4"/>
        <v>100.32474226804125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109.8</v>
      </c>
      <c r="F22" s="18">
        <v>74.7</v>
      </c>
      <c r="G22" s="18">
        <v>65.5</v>
      </c>
      <c r="I22" s="18">
        <f t="shared" si="3"/>
        <v>82.934896551724137</v>
      </c>
      <c r="J22" s="42">
        <f>(I22/'Urban 13-14'!I22)-1</f>
        <v>1.2542159706401934E-2</v>
      </c>
      <c r="K22" s="16"/>
      <c r="M22" s="35">
        <f>192+41</f>
        <v>233</v>
      </c>
      <c r="N22" s="35">
        <f>133+119</f>
        <v>252</v>
      </c>
      <c r="O22" s="35">
        <f>119+121</f>
        <v>240</v>
      </c>
      <c r="P22" s="33">
        <f t="shared" si="0"/>
        <v>25583.399999999998</v>
      </c>
      <c r="Q22" s="33">
        <f t="shared" si="0"/>
        <v>18824.400000000001</v>
      </c>
      <c r="R22" s="33">
        <f t="shared" si="0"/>
        <v>15720</v>
      </c>
      <c r="S22" s="33">
        <f t="shared" si="1"/>
        <v>725</v>
      </c>
      <c r="T22" s="33">
        <f t="shared" si="2"/>
        <v>60127.8</v>
      </c>
      <c r="U22" s="34">
        <f t="shared" si="4"/>
        <v>82.934896551724137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110.2</v>
      </c>
      <c r="F23" s="23">
        <v>76.8</v>
      </c>
      <c r="G23" s="23">
        <v>67.2</v>
      </c>
      <c r="H23" s="22"/>
      <c r="I23" s="23">
        <f t="shared" si="3"/>
        <v>83.820996441281139</v>
      </c>
      <c r="J23" s="44">
        <f>(I23/'Urban 13-14'!I23)-1</f>
        <v>1.289068920339731E-2</v>
      </c>
      <c r="K23" s="16"/>
      <c r="M23" s="35">
        <f>112+55</f>
        <v>167</v>
      </c>
      <c r="N23" s="35">
        <f>125+100</f>
        <v>225</v>
      </c>
      <c r="O23" s="35">
        <f>85+85</f>
        <v>170</v>
      </c>
      <c r="P23" s="33">
        <f t="shared" si="0"/>
        <v>18403.400000000001</v>
      </c>
      <c r="Q23" s="33">
        <f t="shared" si="0"/>
        <v>17280</v>
      </c>
      <c r="R23" s="33">
        <f t="shared" si="0"/>
        <v>11424</v>
      </c>
      <c r="S23" s="33">
        <f t="shared" si="1"/>
        <v>562</v>
      </c>
      <c r="T23" s="33">
        <f t="shared" si="2"/>
        <v>47107.4</v>
      </c>
      <c r="U23" s="34">
        <f t="shared" si="4"/>
        <v>83.820996441281139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98</v>
      </c>
      <c r="F24" s="23">
        <v>73.2</v>
      </c>
      <c r="G24" s="23">
        <v>62.4</v>
      </c>
      <c r="H24" s="22"/>
      <c r="I24" s="23">
        <f t="shared" si="3"/>
        <v>77.777985948477749</v>
      </c>
      <c r="J24" s="44">
        <f>(I24/'Urban 13-14'!I24)-1</f>
        <v>8.1643449754154052E-3</v>
      </c>
      <c r="K24" s="16"/>
      <c r="M24" s="35">
        <f>84+51</f>
        <v>135</v>
      </c>
      <c r="N24" s="35">
        <f>75+88</f>
        <v>163</v>
      </c>
      <c r="O24" s="35">
        <f>47+82</f>
        <v>129</v>
      </c>
      <c r="P24" s="33">
        <f t="shared" si="0"/>
        <v>13230</v>
      </c>
      <c r="Q24" s="33">
        <f t="shared" si="0"/>
        <v>11931.6</v>
      </c>
      <c r="R24" s="33">
        <f t="shared" si="0"/>
        <v>8049.5999999999995</v>
      </c>
      <c r="S24" s="33">
        <f t="shared" si="1"/>
        <v>427</v>
      </c>
      <c r="T24" s="33">
        <f t="shared" si="2"/>
        <v>33211.199999999997</v>
      </c>
      <c r="U24" s="34">
        <f t="shared" si="4"/>
        <v>77.777985948477749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88.1</v>
      </c>
      <c r="F25" s="18">
        <v>67.2</v>
      </c>
      <c r="G25" s="18">
        <v>64.5</v>
      </c>
      <c r="I25" s="18">
        <f t="shared" si="3"/>
        <v>75.222272727272738</v>
      </c>
      <c r="J25" s="42">
        <f>(I25/'Urban 13-14'!I25)-1</f>
        <v>1.6049655198695723E-2</v>
      </c>
      <c r="K25" s="16"/>
      <c r="M25" s="35">
        <f>68+22</f>
        <v>90</v>
      </c>
      <c r="N25" s="35">
        <f>55+32</f>
        <v>87</v>
      </c>
      <c r="O25" s="35">
        <f>24+19</f>
        <v>43</v>
      </c>
      <c r="P25" s="33">
        <f t="shared" si="0"/>
        <v>7928.9999999999991</v>
      </c>
      <c r="Q25" s="33">
        <f t="shared" si="0"/>
        <v>5846.4000000000005</v>
      </c>
      <c r="R25" s="33">
        <f t="shared" si="0"/>
        <v>2773.5</v>
      </c>
      <c r="S25" s="33">
        <f t="shared" si="1"/>
        <v>220</v>
      </c>
      <c r="T25" s="33">
        <f t="shared" si="2"/>
        <v>16548.900000000001</v>
      </c>
      <c r="U25" s="34">
        <f t="shared" si="4"/>
        <v>75.222272727272738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144.19999999999999</v>
      </c>
      <c r="F26" s="18">
        <v>96.4</v>
      </c>
      <c r="G26" s="18">
        <v>80.900000000000006</v>
      </c>
      <c r="I26" s="18">
        <f t="shared" si="3"/>
        <v>106.75124450951685</v>
      </c>
      <c r="J26" s="42">
        <f>(I26/'Urban 13-14'!I26)-1</f>
        <v>3.4175406635525762E-2</v>
      </c>
      <c r="K26" s="16"/>
      <c r="M26" s="35">
        <f>341+115</f>
        <v>456</v>
      </c>
      <c r="N26" s="35">
        <f>244+172</f>
        <v>416</v>
      </c>
      <c r="O26" s="35">
        <f>227+267</f>
        <v>494</v>
      </c>
      <c r="P26" s="33">
        <f t="shared" si="0"/>
        <v>65755.199999999997</v>
      </c>
      <c r="Q26" s="33">
        <f t="shared" si="0"/>
        <v>40102.400000000001</v>
      </c>
      <c r="R26" s="33">
        <f t="shared" si="0"/>
        <v>39964.600000000006</v>
      </c>
      <c r="S26" s="33">
        <f t="shared" si="1"/>
        <v>1366</v>
      </c>
      <c r="T26" s="33">
        <f t="shared" si="2"/>
        <v>145822.20000000001</v>
      </c>
      <c r="U26" s="34">
        <f t="shared" si="4"/>
        <v>106.75124450951685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104.2</v>
      </c>
      <c r="F27" s="18">
        <v>78.5</v>
      </c>
      <c r="G27" s="18">
        <v>66.400000000000006</v>
      </c>
      <c r="I27" s="18">
        <f t="shared" ref="I27" si="6">U27</f>
        <v>83.900753012048199</v>
      </c>
      <c r="J27" s="42">
        <f>(I27/'Urban 13-14'!I27)-1</f>
        <v>2.1139310502044095E-2</v>
      </c>
      <c r="K27" s="16"/>
      <c r="M27" s="35">
        <f>170+75</f>
        <v>245</v>
      </c>
      <c r="N27" s="35">
        <f>109+86</f>
        <v>195</v>
      </c>
      <c r="O27" s="35">
        <f>108+116</f>
        <v>224</v>
      </c>
      <c r="P27" s="33">
        <f t="shared" si="0"/>
        <v>25529</v>
      </c>
      <c r="Q27" s="33">
        <f t="shared" si="0"/>
        <v>15307.5</v>
      </c>
      <c r="R27" s="33">
        <f t="shared" si="0"/>
        <v>14873.600000000002</v>
      </c>
      <c r="S27" s="33">
        <f t="shared" si="1"/>
        <v>664</v>
      </c>
      <c r="T27" s="33">
        <f t="shared" si="2"/>
        <v>55710.100000000006</v>
      </c>
      <c r="U27" s="34">
        <f t="shared" si="4"/>
        <v>83.900753012048199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141.6</v>
      </c>
      <c r="F28" s="18">
        <v>97.7</v>
      </c>
      <c r="G28" s="18">
        <v>74.099999999999994</v>
      </c>
      <c r="I28" s="18">
        <f t="shared" si="3"/>
        <v>100.04431263084439</v>
      </c>
      <c r="J28" s="42">
        <f>(I28/'Urban 13-14'!I28)-1</f>
        <v>1.7142435985121773E-2</v>
      </c>
      <c r="K28" s="16"/>
      <c r="M28" s="35">
        <f>290+108</f>
        <v>398</v>
      </c>
      <c r="N28" s="35">
        <f>253+184</f>
        <v>437</v>
      </c>
      <c r="O28" s="35">
        <f>316+282</f>
        <v>598</v>
      </c>
      <c r="P28" s="33">
        <f t="shared" si="0"/>
        <v>56356.799999999996</v>
      </c>
      <c r="Q28" s="33">
        <f t="shared" si="0"/>
        <v>42694.9</v>
      </c>
      <c r="R28" s="33">
        <f t="shared" si="0"/>
        <v>44311.799999999996</v>
      </c>
      <c r="S28" s="33">
        <f t="shared" si="1"/>
        <v>1433</v>
      </c>
      <c r="T28" s="33">
        <f t="shared" si="2"/>
        <v>143363.5</v>
      </c>
      <c r="U28" s="34">
        <f t="shared" si="4"/>
        <v>100.04431263084439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106.4</v>
      </c>
      <c r="F29" s="18">
        <v>83.7</v>
      </c>
      <c r="G29" s="18">
        <v>73.099999999999994</v>
      </c>
      <c r="I29" s="18">
        <f t="shared" si="3"/>
        <v>89.231786941580765</v>
      </c>
      <c r="J29" s="42">
        <f>(I29/'Urban 13-14'!I29)-1</f>
        <v>2.464271682802055E-3</v>
      </c>
      <c r="K29" s="16"/>
      <c r="M29" s="35">
        <f>143+60</f>
        <v>203</v>
      </c>
      <c r="N29" s="35">
        <f>157+91</f>
        <v>248</v>
      </c>
      <c r="O29" s="35">
        <f>72+59</f>
        <v>131</v>
      </c>
      <c r="P29" s="33">
        <f t="shared" si="0"/>
        <v>21599.200000000001</v>
      </c>
      <c r="Q29" s="33">
        <f t="shared" si="0"/>
        <v>20757.600000000002</v>
      </c>
      <c r="R29" s="33">
        <f t="shared" si="0"/>
        <v>9576.0999999999985</v>
      </c>
      <c r="S29" s="33">
        <f t="shared" si="1"/>
        <v>582</v>
      </c>
      <c r="T29" s="33">
        <f t="shared" si="2"/>
        <v>51932.9</v>
      </c>
      <c r="U29" s="34">
        <f t="shared" si="4"/>
        <v>89.231786941580765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119.5</v>
      </c>
      <c r="F30" s="18">
        <v>84</v>
      </c>
      <c r="G30" s="18">
        <v>72.8</v>
      </c>
      <c r="I30" s="18">
        <f t="shared" ref="I30" si="7">U30</f>
        <v>86.330157170923385</v>
      </c>
      <c r="J30" s="42">
        <f>(I30/'Urban 13-14'!I30)-1</f>
        <v>1.0072088259196477E-2</v>
      </c>
      <c r="K30" s="16"/>
      <c r="M30" s="35">
        <f>155+56</f>
        <v>211</v>
      </c>
      <c r="N30" s="35">
        <f>193+157</f>
        <v>350</v>
      </c>
      <c r="O30" s="35">
        <f>207+250</f>
        <v>457</v>
      </c>
      <c r="P30" s="33">
        <f t="shared" si="0"/>
        <v>25214.5</v>
      </c>
      <c r="Q30" s="33">
        <f t="shared" si="0"/>
        <v>29400</v>
      </c>
      <c r="R30" s="33">
        <f t="shared" si="0"/>
        <v>33269.599999999999</v>
      </c>
      <c r="S30" s="33">
        <f t="shared" si="1"/>
        <v>1018</v>
      </c>
      <c r="T30" s="33">
        <f t="shared" si="2"/>
        <v>87884.1</v>
      </c>
      <c r="U30" s="34">
        <f t="shared" si="4"/>
        <v>86.330157170923385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124.4</v>
      </c>
      <c r="F31" s="18">
        <v>92</v>
      </c>
      <c r="G31" s="18">
        <v>78.3</v>
      </c>
      <c r="I31" s="18">
        <f t="shared" si="3"/>
        <v>97.691395348837219</v>
      </c>
      <c r="J31" s="42">
        <f>(I31/'Urban 13-14'!I31)-1</f>
        <v>1.9670901689360143E-2</v>
      </c>
      <c r="K31" s="16"/>
      <c r="M31" s="35">
        <f>214+58</f>
        <v>272</v>
      </c>
      <c r="N31" s="35">
        <f>175+127</f>
        <v>302</v>
      </c>
      <c r="O31" s="35">
        <f>124+162</f>
        <v>286</v>
      </c>
      <c r="P31" s="33">
        <f t="shared" si="0"/>
        <v>33836.800000000003</v>
      </c>
      <c r="Q31" s="33">
        <f t="shared" si="0"/>
        <v>27784</v>
      </c>
      <c r="R31" s="33">
        <f t="shared" si="0"/>
        <v>22393.8</v>
      </c>
      <c r="S31" s="33">
        <f t="shared" si="1"/>
        <v>860</v>
      </c>
      <c r="T31" s="33">
        <f t="shared" si="2"/>
        <v>84014.6</v>
      </c>
      <c r="U31" s="34">
        <f t="shared" si="4"/>
        <v>97.691395348837219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102.9</v>
      </c>
      <c r="F32" s="18">
        <v>76.8</v>
      </c>
      <c r="G32" s="18">
        <v>70.400000000000006</v>
      </c>
      <c r="I32" s="18">
        <f t="shared" si="3"/>
        <v>82.450183598531211</v>
      </c>
      <c r="J32" s="42">
        <f>(I32/'Urban 13-14'!I32)-1</f>
        <v>2.3396437530491143E-2</v>
      </c>
      <c r="K32" s="16"/>
      <c r="M32" s="35">
        <f>159+75</f>
        <v>234</v>
      </c>
      <c r="N32" s="35">
        <f>193+157</f>
        <v>350</v>
      </c>
      <c r="O32" s="35">
        <f>98+135</f>
        <v>233</v>
      </c>
      <c r="P32" s="33">
        <f t="shared" si="0"/>
        <v>24078.600000000002</v>
      </c>
      <c r="Q32" s="33">
        <f t="shared" si="0"/>
        <v>26880</v>
      </c>
      <c r="R32" s="33">
        <f t="shared" si="0"/>
        <v>16403.2</v>
      </c>
      <c r="S32" s="33">
        <f t="shared" si="1"/>
        <v>817</v>
      </c>
      <c r="T32" s="33">
        <f t="shared" si="2"/>
        <v>67361.8</v>
      </c>
      <c r="U32" s="34">
        <f t="shared" si="4"/>
        <v>82.450183598531211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122.24413419043793</v>
      </c>
      <c r="F34" s="38">
        <f>Q34/N34</f>
        <v>86.346800433839491</v>
      </c>
      <c r="G34" s="38">
        <f t="shared" ref="G34" si="8">R34/O34</f>
        <v>75.382642089093693</v>
      </c>
      <c r="H34" s="36"/>
      <c r="I34" s="38">
        <f t="shared" ref="I34" si="9">U34</f>
        <v>94.082873139076227</v>
      </c>
      <c r="J34" s="43">
        <f>(I34/'Urban 13-14'!I34)-1</f>
        <v>2.7902174285295844E-2</v>
      </c>
      <c r="K34" s="16"/>
      <c r="M34" s="37">
        <f t="shared" ref="M34:R34" si="10">SUM(M12:M32)</f>
        <v>4978</v>
      </c>
      <c r="N34" s="37">
        <f t="shared" si="10"/>
        <v>5532</v>
      </c>
      <c r="O34" s="37">
        <f t="shared" si="10"/>
        <v>5208</v>
      </c>
      <c r="P34" s="37">
        <f t="shared" si="10"/>
        <v>608531.30000000005</v>
      </c>
      <c r="Q34" s="37">
        <f t="shared" si="10"/>
        <v>477670.50000000006</v>
      </c>
      <c r="R34" s="37">
        <f t="shared" si="10"/>
        <v>392592.79999999993</v>
      </c>
      <c r="S34" s="33">
        <f>M34+N34+O34</f>
        <v>15718</v>
      </c>
      <c r="T34" s="33">
        <f>P34+Q34+R34</f>
        <v>1478794.6</v>
      </c>
      <c r="U34" s="34">
        <f>T34/S34</f>
        <v>94.082873139076227</v>
      </c>
    </row>
    <row r="35" spans="1:21" ht="13.5" customHeight="1" x14ac:dyDescent="0.2">
      <c r="A35" s="17"/>
      <c r="D35" s="41" t="s">
        <v>44</v>
      </c>
      <c r="E35" s="38">
        <f>MEDIAN(E12:E32)</f>
        <v>117.95</v>
      </c>
      <c r="F35" s="38">
        <f>MEDIAN(F12:F32)</f>
        <v>83.550000000000011</v>
      </c>
      <c r="G35" s="38">
        <f>MEDIAN(G12:G32)</f>
        <v>72.949999999999989</v>
      </c>
      <c r="H35" s="36"/>
      <c r="I35" s="38">
        <f>MEDIAN(I12:I32)</f>
        <v>89.152621350590039</v>
      </c>
      <c r="J35" s="43">
        <f>(I35/'Urban 13-14'!I35)-1</f>
        <v>3.6069015311572583E-2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19</v>
      </c>
      <c r="K38" s="16"/>
    </row>
    <row r="39" spans="1:21" ht="13.5" customHeight="1" x14ac:dyDescent="0.2">
      <c r="A39" s="17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61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  <ignoredErrors>
    <ignoredError sqref="N3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21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130.9</v>
      </c>
      <c r="F12" s="18">
        <v>87.4</v>
      </c>
      <c r="G12" s="18">
        <v>75.099999999999994</v>
      </c>
      <c r="I12" s="18">
        <f>U12</f>
        <v>93.542574257425741</v>
      </c>
      <c r="J12" s="42">
        <f>(I12/'Urban 12-13'!I12)-1</f>
        <v>8.6465240363737816E-3</v>
      </c>
      <c r="K12" s="16"/>
      <c r="M12" s="35">
        <f>111+43</f>
        <v>154</v>
      </c>
      <c r="N12" s="35">
        <f>117+93</f>
        <v>210</v>
      </c>
      <c r="O12" s="35">
        <f>112+130</f>
        <v>242</v>
      </c>
      <c r="P12" s="33">
        <f t="shared" ref="P12:P32" si="0">E12*M12</f>
        <v>20158.600000000002</v>
      </c>
      <c r="Q12" s="33">
        <f t="shared" ref="Q12:Q32" si="1">F12*N12</f>
        <v>18354</v>
      </c>
      <c r="R12" s="33">
        <f t="shared" ref="R12:R32" si="2">G12*O12</f>
        <v>18174.199999999997</v>
      </c>
      <c r="S12" s="33">
        <f t="shared" ref="S12:S32" si="3">M12+N12+O12</f>
        <v>606</v>
      </c>
      <c r="T12" s="33">
        <f t="shared" ref="T12:T32" si="4">P12+Q12+R12</f>
        <v>56686.8</v>
      </c>
      <c r="U12" s="34">
        <f>T12/S12</f>
        <v>93.542574257425741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111</v>
      </c>
      <c r="F13" s="18">
        <v>78.7</v>
      </c>
      <c r="G13" s="18">
        <v>63.8</v>
      </c>
      <c r="I13" s="18">
        <f t="shared" ref="I13:I32" si="5">U13</f>
        <v>86.048921484037962</v>
      </c>
      <c r="J13" s="42">
        <f>(I13/'Urban 12-13'!I13)-1</f>
        <v>-4.09504285657869E-3</v>
      </c>
      <c r="K13" s="16"/>
      <c r="M13" s="35">
        <f>303+118</f>
        <v>421</v>
      </c>
      <c r="N13" s="35">
        <f>202+195</f>
        <v>397</v>
      </c>
      <c r="O13" s="35">
        <f>162+179</f>
        <v>341</v>
      </c>
      <c r="P13" s="33">
        <f t="shared" si="0"/>
        <v>46731</v>
      </c>
      <c r="Q13" s="33">
        <f t="shared" si="1"/>
        <v>31243.9</v>
      </c>
      <c r="R13" s="33">
        <f t="shared" si="2"/>
        <v>21755.8</v>
      </c>
      <c r="S13" s="33">
        <f t="shared" si="3"/>
        <v>1159</v>
      </c>
      <c r="T13" s="33">
        <f t="shared" si="4"/>
        <v>99730.7</v>
      </c>
      <c r="U13" s="34">
        <f t="shared" ref="U13:U32" si="6">T13/S13</f>
        <v>86.048921484037962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100.1</v>
      </c>
      <c r="F14" s="18">
        <v>75</v>
      </c>
      <c r="G14" s="18">
        <v>70.8</v>
      </c>
      <c r="I14" s="18">
        <f t="shared" si="5"/>
        <v>82.335180722891565</v>
      </c>
      <c r="J14" s="42">
        <f>(I14/'Urban 12-13'!I14)-1</f>
        <v>2.5544541194144843E-2</v>
      </c>
      <c r="K14" s="16"/>
      <c r="M14" s="35">
        <f>94+41</f>
        <v>135</v>
      </c>
      <c r="N14" s="35">
        <f>116+82</f>
        <v>198</v>
      </c>
      <c r="O14" s="35">
        <f>43+39</f>
        <v>82</v>
      </c>
      <c r="P14" s="33">
        <f t="shared" si="0"/>
        <v>13513.5</v>
      </c>
      <c r="Q14" s="33">
        <f t="shared" si="1"/>
        <v>14850</v>
      </c>
      <c r="R14" s="33">
        <f t="shared" si="2"/>
        <v>5805.5999999999995</v>
      </c>
      <c r="S14" s="33">
        <f t="shared" si="3"/>
        <v>415</v>
      </c>
      <c r="T14" s="33">
        <f t="shared" si="4"/>
        <v>34169.1</v>
      </c>
      <c r="U14" s="34">
        <f t="shared" si="6"/>
        <v>82.335180722891565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100.3</v>
      </c>
      <c r="F15" s="18">
        <v>76.3</v>
      </c>
      <c r="G15" s="18">
        <v>63.3</v>
      </c>
      <c r="I15" s="18">
        <f t="shared" si="5"/>
        <v>83.419782214156072</v>
      </c>
      <c r="J15" s="42"/>
      <c r="K15" s="16"/>
      <c r="M15" s="35">
        <f>174+68</f>
        <v>242</v>
      </c>
      <c r="N15" s="35">
        <f>90+74</f>
        <v>164</v>
      </c>
      <c r="O15" s="35">
        <f>72+73</f>
        <v>145</v>
      </c>
      <c r="P15" s="33">
        <f t="shared" si="0"/>
        <v>24272.6</v>
      </c>
      <c r="Q15" s="33">
        <f t="shared" si="1"/>
        <v>12513.199999999999</v>
      </c>
      <c r="R15" s="33">
        <f t="shared" si="2"/>
        <v>9178.5</v>
      </c>
      <c r="S15" s="33">
        <f t="shared" si="3"/>
        <v>551</v>
      </c>
      <c r="T15" s="33">
        <f t="shared" si="4"/>
        <v>45964.299999999996</v>
      </c>
      <c r="U15" s="34">
        <f t="shared" si="6"/>
        <v>83.419782214156072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120.2</v>
      </c>
      <c r="F16" s="18">
        <v>90.3</v>
      </c>
      <c r="G16" s="18">
        <v>81.400000000000006</v>
      </c>
      <c r="I16" s="18">
        <f t="shared" si="5"/>
        <v>96.143665436654373</v>
      </c>
      <c r="J16" s="42">
        <f>(I16/'Urban 12-13'!I16)-1</f>
        <v>4.1417519894436428E-2</v>
      </c>
      <c r="K16" s="16"/>
      <c r="M16" s="35">
        <f>185+62</f>
        <v>247</v>
      </c>
      <c r="N16" s="35">
        <f>166+104</f>
        <v>270</v>
      </c>
      <c r="O16" s="35">
        <f>146+150</f>
        <v>296</v>
      </c>
      <c r="P16" s="33">
        <f t="shared" si="0"/>
        <v>29689.4</v>
      </c>
      <c r="Q16" s="33">
        <f t="shared" si="1"/>
        <v>24381</v>
      </c>
      <c r="R16" s="33">
        <f t="shared" si="2"/>
        <v>24094.400000000001</v>
      </c>
      <c r="S16" s="33">
        <f t="shared" si="3"/>
        <v>813</v>
      </c>
      <c r="T16" s="33">
        <f t="shared" si="4"/>
        <v>78164.800000000003</v>
      </c>
      <c r="U16" s="34">
        <f t="shared" si="6"/>
        <v>96.143665436654373</v>
      </c>
    </row>
    <row r="17" spans="1:21" ht="13.5" customHeight="1" x14ac:dyDescent="0.2">
      <c r="A17" s="17"/>
      <c r="C17" s="29">
        <v>6</v>
      </c>
      <c r="D17" s="1" t="s">
        <v>27</v>
      </c>
      <c r="E17" s="18">
        <v>120.7</v>
      </c>
      <c r="F17" s="18">
        <v>79.099999999999994</v>
      </c>
      <c r="G17" s="18">
        <v>75</v>
      </c>
      <c r="I17" s="18">
        <f t="shared" si="5"/>
        <v>89.285578947368421</v>
      </c>
      <c r="J17" s="42">
        <f>(I17/'Urban 12-13'!I17)-1</f>
        <v>1.6848191639700971E-2</v>
      </c>
      <c r="K17" s="16"/>
      <c r="M17" s="35">
        <f>184+83</f>
        <v>267</v>
      </c>
      <c r="N17" s="35">
        <f>175+159</f>
        <v>334</v>
      </c>
      <c r="O17" s="35">
        <f>156+193</f>
        <v>349</v>
      </c>
      <c r="P17" s="33">
        <f t="shared" si="0"/>
        <v>32226.9</v>
      </c>
      <c r="Q17" s="33">
        <f t="shared" si="1"/>
        <v>26419.399999999998</v>
      </c>
      <c r="R17" s="33">
        <f t="shared" si="2"/>
        <v>26175</v>
      </c>
      <c r="S17" s="33">
        <f t="shared" si="3"/>
        <v>950</v>
      </c>
      <c r="T17" s="33">
        <f t="shared" si="4"/>
        <v>84821.3</v>
      </c>
      <c r="U17" s="34">
        <f t="shared" si="6"/>
        <v>89.285578947368421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138.30000000000001</v>
      </c>
      <c r="F18" s="18">
        <v>92.8</v>
      </c>
      <c r="G18" s="18">
        <v>89.2</v>
      </c>
      <c r="I18" s="18">
        <f t="shared" si="5"/>
        <v>111.21702819956617</v>
      </c>
      <c r="J18" s="42">
        <f>(I18/'Urban 12-13'!I18)-1</f>
        <v>3.6309275287040421E-2</v>
      </c>
      <c r="K18" s="16"/>
      <c r="M18" s="35">
        <f>322+69</f>
        <v>391</v>
      </c>
      <c r="N18" s="35">
        <f>196+110</f>
        <v>306</v>
      </c>
      <c r="O18" s="35">
        <f>124+101</f>
        <v>225</v>
      </c>
      <c r="P18" s="33">
        <f t="shared" si="0"/>
        <v>54075.3</v>
      </c>
      <c r="Q18" s="33">
        <f t="shared" si="1"/>
        <v>28396.799999999999</v>
      </c>
      <c r="R18" s="33">
        <f t="shared" si="2"/>
        <v>20070</v>
      </c>
      <c r="S18" s="33">
        <f t="shared" si="3"/>
        <v>922</v>
      </c>
      <c r="T18" s="33">
        <f t="shared" si="4"/>
        <v>102542.1</v>
      </c>
      <c r="U18" s="34">
        <f t="shared" si="6"/>
        <v>111.21702819956617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131.6</v>
      </c>
      <c r="F19" s="18">
        <v>92.3</v>
      </c>
      <c r="G19" s="18">
        <v>79</v>
      </c>
      <c r="I19" s="18">
        <f t="shared" si="5"/>
        <v>101.73453815261043</v>
      </c>
      <c r="J19" s="42">
        <f>(I19/'Urban 12-13'!I19)-1</f>
        <v>2.8643569552115888E-3</v>
      </c>
      <c r="K19" s="16"/>
      <c r="M19" s="35">
        <f>242+101</f>
        <v>343</v>
      </c>
      <c r="N19" s="35">
        <f>176+170</f>
        <v>346</v>
      </c>
      <c r="O19" s="35">
        <f>143+164</f>
        <v>307</v>
      </c>
      <c r="P19" s="33">
        <f t="shared" si="0"/>
        <v>45138.799999999996</v>
      </c>
      <c r="Q19" s="33">
        <f t="shared" si="1"/>
        <v>31935.8</v>
      </c>
      <c r="R19" s="33">
        <f t="shared" si="2"/>
        <v>24253</v>
      </c>
      <c r="S19" s="33">
        <f t="shared" si="3"/>
        <v>996</v>
      </c>
      <c r="T19" s="33">
        <f t="shared" si="4"/>
        <v>101327.59999999999</v>
      </c>
      <c r="U19" s="34">
        <f t="shared" si="6"/>
        <v>101.73453815261043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113.6</v>
      </c>
      <c r="F20" s="18">
        <v>81.099999999999994</v>
      </c>
      <c r="G20" s="18">
        <v>68.8</v>
      </c>
      <c r="I20" s="18">
        <f t="shared" si="5"/>
        <v>85.63903301886792</v>
      </c>
      <c r="J20" s="42">
        <f>(I20/'Urban 12-13'!I20)-1</f>
        <v>2.4694242359335927E-2</v>
      </c>
      <c r="K20" s="16"/>
      <c r="M20" s="35">
        <f>160+75</f>
        <v>235</v>
      </c>
      <c r="N20" s="35">
        <f>158+147</f>
        <v>305</v>
      </c>
      <c r="O20" s="35">
        <f>149+159</f>
        <v>308</v>
      </c>
      <c r="P20" s="33">
        <f t="shared" si="0"/>
        <v>26696</v>
      </c>
      <c r="Q20" s="33">
        <f t="shared" si="1"/>
        <v>24735.5</v>
      </c>
      <c r="R20" s="33">
        <f t="shared" si="2"/>
        <v>21190.399999999998</v>
      </c>
      <c r="S20" s="33">
        <f t="shared" si="3"/>
        <v>848</v>
      </c>
      <c r="T20" s="33">
        <f t="shared" si="4"/>
        <v>72621.899999999994</v>
      </c>
      <c r="U20" s="34">
        <f t="shared" si="6"/>
        <v>85.63903301886792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126.4</v>
      </c>
      <c r="F21" s="18">
        <v>96.6</v>
      </c>
      <c r="G21" s="18">
        <v>84</v>
      </c>
      <c r="I21" s="18">
        <f t="shared" si="5"/>
        <v>99.738528138528139</v>
      </c>
      <c r="J21" s="42">
        <f>(I21/'Urban 12-13'!I21)-1</f>
        <v>-3.5978941439482881E-3</v>
      </c>
      <c r="K21" s="16"/>
      <c r="M21" s="35">
        <f>76+42</f>
        <v>118</v>
      </c>
      <c r="N21" s="35">
        <f>94+86</f>
        <v>180</v>
      </c>
      <c r="O21" s="35">
        <f>75+89</f>
        <v>164</v>
      </c>
      <c r="P21" s="33">
        <f t="shared" si="0"/>
        <v>14915.2</v>
      </c>
      <c r="Q21" s="33">
        <f t="shared" si="1"/>
        <v>17388</v>
      </c>
      <c r="R21" s="33">
        <f t="shared" si="2"/>
        <v>13776</v>
      </c>
      <c r="S21" s="33">
        <f t="shared" si="3"/>
        <v>462</v>
      </c>
      <c r="T21" s="33">
        <f t="shared" si="4"/>
        <v>46079.199999999997</v>
      </c>
      <c r="U21" s="34">
        <f t="shared" si="6"/>
        <v>99.738528138528139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108.1</v>
      </c>
      <c r="F22" s="18">
        <v>73.900000000000006</v>
      </c>
      <c r="G22" s="18">
        <v>64.5</v>
      </c>
      <c r="I22" s="18">
        <f t="shared" si="5"/>
        <v>81.907598371777482</v>
      </c>
      <c r="J22" s="42">
        <f>(I22/'Urban 12-13'!I22)-1</f>
        <v>1.3467090637257151E-2</v>
      </c>
      <c r="K22" s="16"/>
      <c r="M22" s="35">
        <f>195+46</f>
        <v>241</v>
      </c>
      <c r="N22" s="35">
        <f>134+113</f>
        <v>247</v>
      </c>
      <c r="O22" s="35">
        <f>119+130</f>
        <v>249</v>
      </c>
      <c r="P22" s="33">
        <f t="shared" si="0"/>
        <v>26052.1</v>
      </c>
      <c r="Q22" s="33">
        <f t="shared" si="1"/>
        <v>18253.300000000003</v>
      </c>
      <c r="R22" s="33">
        <f t="shared" si="2"/>
        <v>16060.5</v>
      </c>
      <c r="S22" s="33">
        <f t="shared" si="3"/>
        <v>737</v>
      </c>
      <c r="T22" s="33">
        <f t="shared" si="4"/>
        <v>60365.9</v>
      </c>
      <c r="U22" s="34">
        <f t="shared" si="6"/>
        <v>81.907598371777482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106.6</v>
      </c>
      <c r="F23" s="23">
        <v>78.099999999999994</v>
      </c>
      <c r="G23" s="23">
        <v>67.099999999999994</v>
      </c>
      <c r="H23" s="22"/>
      <c r="I23" s="23">
        <f t="shared" si="5"/>
        <v>82.754237288135585</v>
      </c>
      <c r="J23" s="44">
        <f>(I23/'Urban 12-13'!I23)-1</f>
        <v>2.5407201715469174E-2</v>
      </c>
      <c r="K23" s="16"/>
      <c r="M23" s="35">
        <f>116+56</f>
        <v>172</v>
      </c>
      <c r="N23" s="35">
        <f>123+99</f>
        <v>222</v>
      </c>
      <c r="O23" s="35">
        <f>101+95</f>
        <v>196</v>
      </c>
      <c r="P23" s="33">
        <f t="shared" si="0"/>
        <v>18335.2</v>
      </c>
      <c r="Q23" s="33">
        <f t="shared" si="1"/>
        <v>17338.199999999997</v>
      </c>
      <c r="R23" s="33">
        <f t="shared" si="2"/>
        <v>13151.599999999999</v>
      </c>
      <c r="S23" s="33">
        <f t="shared" si="3"/>
        <v>590</v>
      </c>
      <c r="T23" s="33">
        <f t="shared" si="4"/>
        <v>48824.999999999993</v>
      </c>
      <c r="U23" s="34">
        <f t="shared" si="6"/>
        <v>82.754237288135585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98.2</v>
      </c>
      <c r="F24" s="23">
        <v>71.5</v>
      </c>
      <c r="G24" s="23">
        <v>60.8</v>
      </c>
      <c r="H24" s="22"/>
      <c r="I24" s="23">
        <f t="shared" si="5"/>
        <v>77.148122065727691</v>
      </c>
      <c r="J24" s="44">
        <f>(I24/'Urban 12-13'!I24)-1</f>
        <v>4.3972649144110143E-2</v>
      </c>
      <c r="K24" s="16"/>
      <c r="M24" s="35">
        <f>86+49</f>
        <v>135</v>
      </c>
      <c r="N24" s="35">
        <f>81+98</f>
        <v>179</v>
      </c>
      <c r="O24" s="35">
        <f>41+71</f>
        <v>112</v>
      </c>
      <c r="P24" s="33">
        <f t="shared" si="0"/>
        <v>13257</v>
      </c>
      <c r="Q24" s="33">
        <f t="shared" si="1"/>
        <v>12798.5</v>
      </c>
      <c r="R24" s="33">
        <f t="shared" si="2"/>
        <v>6809.5999999999995</v>
      </c>
      <c r="S24" s="33">
        <f t="shared" si="3"/>
        <v>426</v>
      </c>
      <c r="T24" s="33">
        <f t="shared" si="4"/>
        <v>32865.1</v>
      </c>
      <c r="U24" s="34">
        <f t="shared" si="6"/>
        <v>77.148122065727691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87.5</v>
      </c>
      <c r="F25" s="18">
        <v>66.7</v>
      </c>
      <c r="G25" s="18">
        <v>62.4</v>
      </c>
      <c r="I25" s="18">
        <f t="shared" si="5"/>
        <v>74.034051724137925</v>
      </c>
      <c r="J25" s="42">
        <f>(I25/'Urban 12-13'!I25)-1</f>
        <v>3.4181635600993854E-3</v>
      </c>
      <c r="K25" s="16"/>
      <c r="M25" s="35">
        <f>73+21</f>
        <v>94</v>
      </c>
      <c r="N25" s="35">
        <f>48+31</f>
        <v>79</v>
      </c>
      <c r="O25" s="35">
        <f>39+20</f>
        <v>59</v>
      </c>
      <c r="P25" s="33">
        <f t="shared" si="0"/>
        <v>8225</v>
      </c>
      <c r="Q25" s="33">
        <f t="shared" si="1"/>
        <v>5269.3</v>
      </c>
      <c r="R25" s="33">
        <f t="shared" si="2"/>
        <v>3681.6</v>
      </c>
      <c r="S25" s="33">
        <f t="shared" si="3"/>
        <v>232</v>
      </c>
      <c r="T25" s="33">
        <f t="shared" si="4"/>
        <v>17175.899999999998</v>
      </c>
      <c r="U25" s="34">
        <f t="shared" si="6"/>
        <v>74.034051724137925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140.19999999999999</v>
      </c>
      <c r="F26" s="18">
        <v>93</v>
      </c>
      <c r="G26" s="18">
        <v>77.8</v>
      </c>
      <c r="I26" s="18">
        <f t="shared" si="5"/>
        <v>103.22353811991118</v>
      </c>
      <c r="J26" s="42">
        <f>(I26/'Urban 12-13'!I26)-1</f>
        <v>2.2513050345972507E-2</v>
      </c>
      <c r="K26" s="16"/>
      <c r="M26" s="35">
        <f>342+111</f>
        <v>453</v>
      </c>
      <c r="N26" s="35">
        <f>244+156</f>
        <v>400</v>
      </c>
      <c r="O26" s="35">
        <f>223+275</f>
        <v>498</v>
      </c>
      <c r="P26" s="33">
        <f t="shared" si="0"/>
        <v>63510.599999999991</v>
      </c>
      <c r="Q26" s="33">
        <f t="shared" si="1"/>
        <v>37200</v>
      </c>
      <c r="R26" s="33">
        <f t="shared" si="2"/>
        <v>38744.400000000001</v>
      </c>
      <c r="S26" s="33">
        <f t="shared" si="3"/>
        <v>1351</v>
      </c>
      <c r="T26" s="33">
        <f t="shared" si="4"/>
        <v>139455</v>
      </c>
      <c r="U26" s="34">
        <f t="shared" si="6"/>
        <v>103.22353811991118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101.6</v>
      </c>
      <c r="F27" s="18">
        <v>76.3</v>
      </c>
      <c r="G27" s="18">
        <v>65.5</v>
      </c>
      <c r="I27" s="18">
        <f t="shared" si="5"/>
        <v>82.163865546218489</v>
      </c>
      <c r="J27" s="42">
        <f>(I27/'Urban 12-13'!I27)-1</f>
        <v>3.8791827096186227E-2</v>
      </c>
      <c r="K27" s="16"/>
      <c r="M27" s="35">
        <f>158+64</f>
        <v>222</v>
      </c>
      <c r="N27" s="35">
        <f>101+75</f>
        <v>176</v>
      </c>
      <c r="O27" s="35">
        <f>89+108</f>
        <v>197</v>
      </c>
      <c r="P27" s="33">
        <f t="shared" si="0"/>
        <v>22555.199999999997</v>
      </c>
      <c r="Q27" s="33">
        <f t="shared" si="1"/>
        <v>13428.8</v>
      </c>
      <c r="R27" s="33">
        <f t="shared" si="2"/>
        <v>12903.5</v>
      </c>
      <c r="S27" s="33">
        <f t="shared" si="3"/>
        <v>595</v>
      </c>
      <c r="T27" s="33">
        <f t="shared" si="4"/>
        <v>48887.5</v>
      </c>
      <c r="U27" s="34">
        <f t="shared" si="6"/>
        <v>82.163865546218489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139.69999999999999</v>
      </c>
      <c r="F28" s="18">
        <v>95.8</v>
      </c>
      <c r="G28" s="18">
        <v>72.900000000000006</v>
      </c>
      <c r="I28" s="18">
        <f t="shared" si="5"/>
        <v>98.358213256484163</v>
      </c>
      <c r="J28" s="42">
        <f>(I28/'Urban 12-13'!I28)-1</f>
        <v>1.2798145591837562E-2</v>
      </c>
      <c r="K28" s="16"/>
      <c r="M28" s="35">
        <f>286+99</f>
        <v>385</v>
      </c>
      <c r="N28" s="35">
        <f>247+173</f>
        <v>420</v>
      </c>
      <c r="O28" s="35">
        <f>305+278</f>
        <v>583</v>
      </c>
      <c r="P28" s="33">
        <f t="shared" si="0"/>
        <v>53784.499999999993</v>
      </c>
      <c r="Q28" s="33">
        <f t="shared" si="1"/>
        <v>40236</v>
      </c>
      <c r="R28" s="33">
        <f t="shared" si="2"/>
        <v>42500.700000000004</v>
      </c>
      <c r="S28" s="33">
        <f t="shared" si="3"/>
        <v>1388</v>
      </c>
      <c r="T28" s="33">
        <f t="shared" si="4"/>
        <v>136521.20000000001</v>
      </c>
      <c r="U28" s="34">
        <f t="shared" si="6"/>
        <v>98.358213256484163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106.5</v>
      </c>
      <c r="F29" s="18">
        <v>83.7</v>
      </c>
      <c r="G29" s="18">
        <v>73.3</v>
      </c>
      <c r="I29" s="18">
        <f t="shared" si="5"/>
        <v>89.012436115843272</v>
      </c>
      <c r="J29" s="42">
        <f>(I29/'Urban 12-13'!I29)-1</f>
        <v>-4.4057371922540112E-3</v>
      </c>
      <c r="K29" s="16"/>
      <c r="M29" s="35">
        <f>145+57</f>
        <v>202</v>
      </c>
      <c r="N29" s="35">
        <f>155+87</f>
        <v>242</v>
      </c>
      <c r="O29" s="35">
        <f>87+56</f>
        <v>143</v>
      </c>
      <c r="P29" s="33">
        <f t="shared" si="0"/>
        <v>21513</v>
      </c>
      <c r="Q29" s="33">
        <f t="shared" si="1"/>
        <v>20255.400000000001</v>
      </c>
      <c r="R29" s="33">
        <f t="shared" si="2"/>
        <v>10481.9</v>
      </c>
      <c r="S29" s="33">
        <f t="shared" si="3"/>
        <v>587</v>
      </c>
      <c r="T29" s="33">
        <f t="shared" si="4"/>
        <v>52250.3</v>
      </c>
      <c r="U29" s="34">
        <f t="shared" si="6"/>
        <v>89.012436115843272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118</v>
      </c>
      <c r="F30" s="18">
        <v>82.9</v>
      </c>
      <c r="G30" s="18">
        <v>71.7</v>
      </c>
      <c r="I30" s="18">
        <f t="shared" si="5"/>
        <v>85.469302809573364</v>
      </c>
      <c r="J30" s="42">
        <f>(I30/'Urban 12-13'!I30)-1</f>
        <v>2.6877900027664436E-2</v>
      </c>
      <c r="K30" s="16"/>
      <c r="M30" s="35">
        <f>146+59</f>
        <v>205</v>
      </c>
      <c r="N30" s="35">
        <f>190+144</f>
        <v>334</v>
      </c>
      <c r="O30" s="35">
        <f>199+223</f>
        <v>422</v>
      </c>
      <c r="P30" s="33">
        <f t="shared" si="0"/>
        <v>24190</v>
      </c>
      <c r="Q30" s="33">
        <f t="shared" si="1"/>
        <v>27688.600000000002</v>
      </c>
      <c r="R30" s="33">
        <f t="shared" si="2"/>
        <v>30257.4</v>
      </c>
      <c r="S30" s="33">
        <f t="shared" si="3"/>
        <v>961</v>
      </c>
      <c r="T30" s="33">
        <f t="shared" si="4"/>
        <v>82136</v>
      </c>
      <c r="U30" s="34">
        <f t="shared" si="6"/>
        <v>85.469302809573364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121.3</v>
      </c>
      <c r="F31" s="18">
        <v>90.3</v>
      </c>
      <c r="G31" s="18">
        <v>77.099999999999994</v>
      </c>
      <c r="I31" s="18">
        <f t="shared" si="5"/>
        <v>95.806789413118537</v>
      </c>
      <c r="J31" s="42">
        <f>(I31/'Urban 12-13'!I31)-1</f>
        <v>4.0848900591076154E-2</v>
      </c>
      <c r="K31" s="16"/>
      <c r="M31" s="35">
        <f>221+56</f>
        <v>277</v>
      </c>
      <c r="N31" s="35">
        <f>176+128</f>
        <v>304</v>
      </c>
      <c r="O31" s="35">
        <f>127+161</f>
        <v>288</v>
      </c>
      <c r="P31" s="33">
        <f t="shared" si="0"/>
        <v>33600.1</v>
      </c>
      <c r="Q31" s="33">
        <f t="shared" si="1"/>
        <v>27451.200000000001</v>
      </c>
      <c r="R31" s="33">
        <f t="shared" si="2"/>
        <v>22204.799999999999</v>
      </c>
      <c r="S31" s="33">
        <f t="shared" si="3"/>
        <v>869</v>
      </c>
      <c r="T31" s="33">
        <f t="shared" si="4"/>
        <v>83256.100000000006</v>
      </c>
      <c r="U31" s="34">
        <f t="shared" si="6"/>
        <v>95.806789413118537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101.7</v>
      </c>
      <c r="F32" s="18">
        <v>75.2</v>
      </c>
      <c r="G32" s="18">
        <v>70.7</v>
      </c>
      <c r="I32" s="18">
        <f t="shared" si="5"/>
        <v>80.565243902439022</v>
      </c>
      <c r="J32" s="42">
        <f>(I32/'Urban 12-13'!I32)-1</f>
        <v>3.6292331258101829E-2</v>
      </c>
      <c r="K32" s="16"/>
      <c r="M32" s="35">
        <f>147+63</f>
        <v>210</v>
      </c>
      <c r="N32" s="35">
        <f>192+159</f>
        <v>351</v>
      </c>
      <c r="O32" s="35">
        <f>115+144</f>
        <v>259</v>
      </c>
      <c r="P32" s="33">
        <f t="shared" si="0"/>
        <v>21357</v>
      </c>
      <c r="Q32" s="33">
        <f t="shared" si="1"/>
        <v>26395.200000000001</v>
      </c>
      <c r="R32" s="33">
        <f t="shared" si="2"/>
        <v>18311.3</v>
      </c>
      <c r="S32" s="33">
        <f t="shared" si="3"/>
        <v>820</v>
      </c>
      <c r="T32" s="33">
        <f t="shared" si="4"/>
        <v>66063.5</v>
      </c>
      <c r="U32" s="34">
        <f t="shared" si="6"/>
        <v>80.565243902439022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119.20703049135753</v>
      </c>
      <c r="F34" s="38">
        <f>Q34/N34</f>
        <v>84.133492231638414</v>
      </c>
      <c r="G34" s="38">
        <f t="shared" ref="G34" si="7">R34/O34</f>
        <v>73.116230558096987</v>
      </c>
      <c r="H34" s="36"/>
      <c r="I34" s="38">
        <f t="shared" ref="I34" si="8">U34</f>
        <v>91.529014620960794</v>
      </c>
      <c r="J34" s="43">
        <f>(I34/'Urban 12-13'!I34)-1</f>
        <v>1.8114011294969368E-2</v>
      </c>
      <c r="K34" s="16"/>
      <c r="M34" s="37">
        <f t="shared" ref="M34:R34" si="9">SUM(M12:M32)</f>
        <v>5149</v>
      </c>
      <c r="N34" s="37">
        <f t="shared" si="9"/>
        <v>5664</v>
      </c>
      <c r="O34" s="37">
        <f t="shared" si="9"/>
        <v>5465</v>
      </c>
      <c r="P34" s="37">
        <f t="shared" si="9"/>
        <v>613796.99999999988</v>
      </c>
      <c r="Q34" s="37">
        <f t="shared" si="9"/>
        <v>476532.1</v>
      </c>
      <c r="R34" s="37">
        <f t="shared" si="9"/>
        <v>399580.20000000007</v>
      </c>
      <c r="S34" s="33">
        <f>M34+N34+O34</f>
        <v>16278</v>
      </c>
      <c r="T34" s="33">
        <f>P34+Q34+R34</f>
        <v>1489909.2999999998</v>
      </c>
      <c r="U34" s="34">
        <f>T34/S34</f>
        <v>91.529014620960794</v>
      </c>
    </row>
    <row r="35" spans="1:21" ht="13.5" customHeight="1" x14ac:dyDescent="0.2">
      <c r="A35" s="17"/>
      <c r="D35" s="41" t="s">
        <v>44</v>
      </c>
      <c r="E35" s="38">
        <f>MEDIAN(E12:E32)</f>
        <v>113.6</v>
      </c>
      <c r="F35" s="38">
        <f>MEDIAN(F12:F32)</f>
        <v>81.099999999999994</v>
      </c>
      <c r="G35" s="38">
        <f>MEDIAN(G12:G32)</f>
        <v>71.7</v>
      </c>
      <c r="H35" s="36"/>
      <c r="I35" s="38">
        <f>MEDIAN(I12:I32)</f>
        <v>86.048921484037962</v>
      </c>
      <c r="J35" s="43">
        <f>(I35/'Urban 12-13'!I35)-1</f>
        <v>-1.2118233274114765E-2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19</v>
      </c>
      <c r="K38" s="16"/>
    </row>
    <row r="39" spans="1:21" ht="13.5" customHeight="1" x14ac:dyDescent="0.2">
      <c r="A39" s="17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18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45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127.3</v>
      </c>
      <c r="F12" s="18">
        <v>85.4</v>
      </c>
      <c r="G12" s="18">
        <v>73.7</v>
      </c>
      <c r="I12" s="18">
        <f>U12</f>
        <v>92.740689655172417</v>
      </c>
      <c r="J12" s="42">
        <f>(I12/'Urban 11-12'!I12)-1</f>
        <v>2.6337537927292098E-2</v>
      </c>
      <c r="K12" s="16"/>
      <c r="M12" s="35">
        <f>120+45</f>
        <v>165</v>
      </c>
      <c r="N12" s="35">
        <f>102+86</f>
        <v>188</v>
      </c>
      <c r="O12" s="35">
        <f>106+121</f>
        <v>227</v>
      </c>
      <c r="P12" s="33">
        <f t="shared" ref="P12:R32" si="0">E12*M12</f>
        <v>21004.5</v>
      </c>
      <c r="Q12" s="33">
        <f t="shared" si="0"/>
        <v>16055.2</v>
      </c>
      <c r="R12" s="33">
        <f t="shared" si="0"/>
        <v>16729.900000000001</v>
      </c>
      <c r="S12" s="33">
        <f t="shared" ref="S12:S32" si="1">M12+N12+O12</f>
        <v>580</v>
      </c>
      <c r="T12" s="33">
        <f t="shared" ref="T12:T32" si="2">P12+Q12+R12</f>
        <v>53789.599999999999</v>
      </c>
      <c r="U12" s="34">
        <f>T12/S12</f>
        <v>92.740689655172417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110.8</v>
      </c>
      <c r="F13" s="18">
        <v>80.2</v>
      </c>
      <c r="G13" s="18">
        <v>63.5</v>
      </c>
      <c r="I13" s="18">
        <f t="shared" ref="I13:I32" si="3">U13</f>
        <v>86.402744425385933</v>
      </c>
      <c r="J13" s="42">
        <f>(I13/'Urban 11-12'!I13)-1</f>
        <v>1.4724429458491173E-2</v>
      </c>
      <c r="K13" s="16"/>
      <c r="M13" s="35">
        <f>304+119</f>
        <v>423</v>
      </c>
      <c r="N13" s="35">
        <f>213+188</f>
        <v>401</v>
      </c>
      <c r="O13" s="35">
        <f>149+193</f>
        <v>342</v>
      </c>
      <c r="P13" s="33">
        <f t="shared" si="0"/>
        <v>46868.4</v>
      </c>
      <c r="Q13" s="33">
        <f t="shared" si="0"/>
        <v>32160.2</v>
      </c>
      <c r="R13" s="33">
        <f t="shared" si="0"/>
        <v>21717</v>
      </c>
      <c r="S13" s="33">
        <f t="shared" si="1"/>
        <v>1166</v>
      </c>
      <c r="T13" s="33">
        <f t="shared" si="2"/>
        <v>100745.60000000001</v>
      </c>
      <c r="U13" s="34">
        <f t="shared" ref="U13:U32" si="4">T13/S13</f>
        <v>86.402744425385933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98.4</v>
      </c>
      <c r="F14" s="18">
        <v>73.2</v>
      </c>
      <c r="G14" s="18">
        <v>67.400000000000006</v>
      </c>
      <c r="I14" s="18">
        <f t="shared" si="3"/>
        <v>80.284353741496602</v>
      </c>
      <c r="J14" s="42">
        <f>(I14/'Urban 11-12'!I14)-1</f>
        <v>2.1567703346330402E-2</v>
      </c>
      <c r="K14" s="16"/>
      <c r="M14" s="35">
        <f>103+41</f>
        <v>144</v>
      </c>
      <c r="N14" s="35">
        <f>126+84</f>
        <v>210</v>
      </c>
      <c r="O14" s="35">
        <f>44+43</f>
        <v>87</v>
      </c>
      <c r="P14" s="33">
        <f t="shared" si="0"/>
        <v>14169.6</v>
      </c>
      <c r="Q14" s="33">
        <f t="shared" si="0"/>
        <v>15372</v>
      </c>
      <c r="R14" s="33">
        <f t="shared" si="0"/>
        <v>5863.8</v>
      </c>
      <c r="S14" s="33">
        <f t="shared" si="1"/>
        <v>441</v>
      </c>
      <c r="T14" s="33">
        <f t="shared" si="2"/>
        <v>35405.4</v>
      </c>
      <c r="U14" s="34">
        <f t="shared" si="4"/>
        <v>80.284353741496602</v>
      </c>
    </row>
    <row r="15" spans="1:21" ht="13.5" customHeight="1" x14ac:dyDescent="0.2">
      <c r="A15" s="17"/>
      <c r="C15" s="29">
        <v>4</v>
      </c>
      <c r="D15" s="1" t="s">
        <v>42</v>
      </c>
      <c r="E15" s="18"/>
      <c r="F15" s="18"/>
      <c r="G15" s="18"/>
      <c r="I15" s="18"/>
      <c r="J15" s="42"/>
      <c r="K15" s="16"/>
      <c r="M15" s="35"/>
      <c r="N15" s="35"/>
      <c r="O15" s="35"/>
      <c r="P15" s="33">
        <f t="shared" si="0"/>
        <v>0</v>
      </c>
      <c r="Q15" s="33">
        <f t="shared" si="0"/>
        <v>0</v>
      </c>
      <c r="R15" s="33">
        <f t="shared" si="0"/>
        <v>0</v>
      </c>
      <c r="S15" s="33">
        <f t="shared" si="1"/>
        <v>0</v>
      </c>
      <c r="T15" s="33">
        <f t="shared" si="2"/>
        <v>0</v>
      </c>
      <c r="U15" s="34" t="e">
        <f t="shared" si="4"/>
        <v>#DIV/0!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117.3</v>
      </c>
      <c r="F16" s="18">
        <v>88.1</v>
      </c>
      <c r="G16" s="18">
        <v>76.5</v>
      </c>
      <c r="I16" s="18">
        <f t="shared" si="3"/>
        <v>92.32</v>
      </c>
      <c r="J16" s="42">
        <f>(I16/'Urban 11-12'!I16)-1</f>
        <v>1.8947006468766014E-2</v>
      </c>
      <c r="K16" s="16"/>
      <c r="M16" s="35">
        <f>179+55</f>
        <v>234</v>
      </c>
      <c r="N16" s="35">
        <f>171+97</f>
        <v>268</v>
      </c>
      <c r="O16" s="35">
        <f>150+148</f>
        <v>298</v>
      </c>
      <c r="P16" s="33">
        <f t="shared" si="0"/>
        <v>27448.2</v>
      </c>
      <c r="Q16" s="33">
        <f t="shared" si="0"/>
        <v>23610.799999999999</v>
      </c>
      <c r="R16" s="33">
        <f t="shared" si="0"/>
        <v>22797</v>
      </c>
      <c r="S16" s="33">
        <f t="shared" si="1"/>
        <v>800</v>
      </c>
      <c r="T16" s="33">
        <f t="shared" si="2"/>
        <v>73856</v>
      </c>
      <c r="U16" s="34">
        <f t="shared" si="4"/>
        <v>92.32</v>
      </c>
    </row>
    <row r="17" spans="1:21" ht="13.5" customHeight="1" x14ac:dyDescent="0.2">
      <c r="A17" s="17"/>
      <c r="C17" s="29">
        <v>6</v>
      </c>
      <c r="D17" s="1" t="s">
        <v>27</v>
      </c>
      <c r="E17" s="18">
        <v>121.7</v>
      </c>
      <c r="F17" s="18">
        <v>80.099999999999994</v>
      </c>
      <c r="G17" s="18">
        <v>72.2</v>
      </c>
      <c r="I17" s="18">
        <f t="shared" si="3"/>
        <v>87.806203208556141</v>
      </c>
      <c r="J17" s="42">
        <f>(I17/'Urban 11-12'!I17)-1</f>
        <v>1.3777067232585871E-2</v>
      </c>
      <c r="K17" s="16"/>
      <c r="M17" s="35">
        <f>172+69</f>
        <v>241</v>
      </c>
      <c r="N17" s="35">
        <f>176+161</f>
        <v>337</v>
      </c>
      <c r="O17" s="35">
        <f>162+195</f>
        <v>357</v>
      </c>
      <c r="P17" s="33">
        <f t="shared" si="0"/>
        <v>29329.7</v>
      </c>
      <c r="Q17" s="33">
        <f t="shared" si="0"/>
        <v>26993.699999999997</v>
      </c>
      <c r="R17" s="33">
        <f t="shared" si="0"/>
        <v>25775.4</v>
      </c>
      <c r="S17" s="33">
        <f t="shared" si="1"/>
        <v>935</v>
      </c>
      <c r="T17" s="33">
        <f t="shared" si="2"/>
        <v>82098.799999999988</v>
      </c>
      <c r="U17" s="34">
        <f t="shared" si="4"/>
        <v>87.806203208556141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134.1</v>
      </c>
      <c r="F18" s="18">
        <v>88.7</v>
      </c>
      <c r="G18" s="18">
        <v>86.1</v>
      </c>
      <c r="I18" s="18">
        <f t="shared" si="3"/>
        <v>107.3203056768559</v>
      </c>
      <c r="J18" s="42">
        <f>(I18/'Urban 11-12'!I18)-1</f>
        <v>4.0266632421002146E-2</v>
      </c>
      <c r="K18" s="16"/>
      <c r="M18" s="35">
        <f>320+68</f>
        <v>388</v>
      </c>
      <c r="N18" s="35">
        <f>193+120</f>
        <v>313</v>
      </c>
      <c r="O18" s="35">
        <f>121+94</f>
        <v>215</v>
      </c>
      <c r="P18" s="33">
        <f t="shared" si="0"/>
        <v>52030.799999999996</v>
      </c>
      <c r="Q18" s="33">
        <f t="shared" si="0"/>
        <v>27763.100000000002</v>
      </c>
      <c r="R18" s="33">
        <f t="shared" si="0"/>
        <v>18511.5</v>
      </c>
      <c r="S18" s="33">
        <f t="shared" si="1"/>
        <v>916</v>
      </c>
      <c r="T18" s="33">
        <f t="shared" si="2"/>
        <v>98305.4</v>
      </c>
      <c r="U18" s="34">
        <f t="shared" si="4"/>
        <v>107.3203056768559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132.80000000000001</v>
      </c>
      <c r="F19" s="18">
        <v>90.7</v>
      </c>
      <c r="G19" s="18">
        <v>78.099999999999994</v>
      </c>
      <c r="I19" s="18">
        <f t="shared" si="3"/>
        <v>101.44396642182582</v>
      </c>
      <c r="J19" s="42">
        <f>(I19/'Urban 11-12'!I19)-1</f>
        <v>9.1249395366985731E-3</v>
      </c>
      <c r="K19" s="16"/>
      <c r="M19" s="35">
        <f>235+95</f>
        <v>330</v>
      </c>
      <c r="N19" s="35">
        <f>185+148</f>
        <v>333</v>
      </c>
      <c r="O19" s="35">
        <f>128+162</f>
        <v>290</v>
      </c>
      <c r="P19" s="33">
        <f t="shared" si="0"/>
        <v>43824.000000000007</v>
      </c>
      <c r="Q19" s="33">
        <f t="shared" si="0"/>
        <v>30203.100000000002</v>
      </c>
      <c r="R19" s="33">
        <f t="shared" si="0"/>
        <v>22649</v>
      </c>
      <c r="S19" s="33">
        <f t="shared" si="1"/>
        <v>953</v>
      </c>
      <c r="T19" s="33">
        <f t="shared" si="2"/>
        <v>96676.1</v>
      </c>
      <c r="U19" s="34">
        <f t="shared" si="4"/>
        <v>101.44396642182582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110</v>
      </c>
      <c r="F20" s="18">
        <v>79.900000000000006</v>
      </c>
      <c r="G20" s="18">
        <v>67.3</v>
      </c>
      <c r="I20" s="18">
        <f t="shared" si="3"/>
        <v>83.575206611570238</v>
      </c>
      <c r="J20" s="42">
        <f>(I20/'Urban 11-12'!I20)-1</f>
        <v>3.0137930294931614E-2</v>
      </c>
      <c r="K20" s="16"/>
      <c r="M20" s="35">
        <f>156+73</f>
        <v>229</v>
      </c>
      <c r="N20" s="35">
        <f>167+151</f>
        <v>318</v>
      </c>
      <c r="O20" s="35">
        <f>141+159</f>
        <v>300</v>
      </c>
      <c r="P20" s="33">
        <f t="shared" si="0"/>
        <v>25190</v>
      </c>
      <c r="Q20" s="33">
        <f t="shared" si="0"/>
        <v>25408.2</v>
      </c>
      <c r="R20" s="33">
        <f t="shared" si="0"/>
        <v>20190</v>
      </c>
      <c r="S20" s="33">
        <f t="shared" si="1"/>
        <v>847</v>
      </c>
      <c r="T20" s="33">
        <f t="shared" si="2"/>
        <v>70788.2</v>
      </c>
      <c r="U20" s="34">
        <f t="shared" si="4"/>
        <v>83.575206611570238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132.80000000000001</v>
      </c>
      <c r="F21" s="18">
        <v>93.4</v>
      </c>
      <c r="G21" s="18">
        <v>80.400000000000006</v>
      </c>
      <c r="I21" s="18">
        <f t="shared" si="3"/>
        <v>100.09867256637169</v>
      </c>
      <c r="J21" s="42">
        <f>(I21/'Urban 11-12'!I21)-1</f>
        <v>9.1706785258572898E-2</v>
      </c>
      <c r="K21" s="16"/>
      <c r="M21" s="35">
        <f>78+49</f>
        <v>127</v>
      </c>
      <c r="N21" s="35">
        <f>86+87</f>
        <v>173</v>
      </c>
      <c r="O21" s="35">
        <f>72+80</f>
        <v>152</v>
      </c>
      <c r="P21" s="33">
        <f t="shared" si="0"/>
        <v>16865.600000000002</v>
      </c>
      <c r="Q21" s="33">
        <f t="shared" si="0"/>
        <v>16158.2</v>
      </c>
      <c r="R21" s="33">
        <f t="shared" si="0"/>
        <v>12220.800000000001</v>
      </c>
      <c r="S21" s="33">
        <f t="shared" si="1"/>
        <v>452</v>
      </c>
      <c r="T21" s="33">
        <f t="shared" si="2"/>
        <v>45244.600000000006</v>
      </c>
      <c r="U21" s="34">
        <f t="shared" si="4"/>
        <v>100.09867256637169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105.5</v>
      </c>
      <c r="F22" s="18">
        <v>74.599999999999994</v>
      </c>
      <c r="G22" s="18">
        <v>63.2</v>
      </c>
      <c r="I22" s="18">
        <f t="shared" si="3"/>
        <v>80.819198895027625</v>
      </c>
      <c r="J22" s="42">
        <f>(I22/'Urban 11-12'!I22)-1</f>
        <v>2.6887071201415536E-2</v>
      </c>
      <c r="K22" s="16"/>
      <c r="M22" s="35">
        <f>189+46</f>
        <v>235</v>
      </c>
      <c r="N22" s="35">
        <f>147+100</f>
        <v>247</v>
      </c>
      <c r="O22" s="35">
        <f>112+130</f>
        <v>242</v>
      </c>
      <c r="P22" s="33">
        <f t="shared" si="0"/>
        <v>24792.5</v>
      </c>
      <c r="Q22" s="33">
        <f t="shared" si="0"/>
        <v>18426.199999999997</v>
      </c>
      <c r="R22" s="33">
        <f t="shared" si="0"/>
        <v>15294.400000000001</v>
      </c>
      <c r="S22" s="33">
        <f t="shared" si="1"/>
        <v>724</v>
      </c>
      <c r="T22" s="33">
        <f t="shared" si="2"/>
        <v>58513.1</v>
      </c>
      <c r="U22" s="34">
        <f t="shared" si="4"/>
        <v>80.819198895027625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106</v>
      </c>
      <c r="F23" s="23">
        <v>77.400000000000006</v>
      </c>
      <c r="G23" s="23">
        <v>64</v>
      </c>
      <c r="H23" s="22"/>
      <c r="I23" s="23">
        <f t="shared" si="3"/>
        <v>80.703780068728534</v>
      </c>
      <c r="J23" s="44">
        <f>(I23/'Urban 11-12'!I23)-1</f>
        <v>-2.5545659589392145E-3</v>
      </c>
      <c r="K23" s="16"/>
      <c r="M23" s="35">
        <f>112+48</f>
        <v>160</v>
      </c>
      <c r="N23" s="35">
        <f>131+93</f>
        <v>224</v>
      </c>
      <c r="O23" s="35">
        <f>95+103</f>
        <v>198</v>
      </c>
      <c r="P23" s="33">
        <f t="shared" si="0"/>
        <v>16960</v>
      </c>
      <c r="Q23" s="33">
        <f t="shared" si="0"/>
        <v>17337.600000000002</v>
      </c>
      <c r="R23" s="33">
        <f t="shared" si="0"/>
        <v>12672</v>
      </c>
      <c r="S23" s="33">
        <f t="shared" si="1"/>
        <v>582</v>
      </c>
      <c r="T23" s="33">
        <f t="shared" si="2"/>
        <v>46969.600000000006</v>
      </c>
      <c r="U23" s="34">
        <f t="shared" si="4"/>
        <v>80.703780068728534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96.7</v>
      </c>
      <c r="F24" s="23">
        <v>69.7</v>
      </c>
      <c r="G24" s="23">
        <v>57.1</v>
      </c>
      <c r="H24" s="22"/>
      <c r="I24" s="23">
        <f t="shared" si="3"/>
        <v>73.898604651162799</v>
      </c>
      <c r="J24" s="44">
        <f>(I24/'Urban 11-12'!I24)-1</f>
        <v>-2.4626813598944697E-3</v>
      </c>
      <c r="K24" s="16"/>
      <c r="M24" s="35">
        <f>86+42</f>
        <v>128</v>
      </c>
      <c r="N24" s="35">
        <f>78+93</f>
        <v>171</v>
      </c>
      <c r="O24" s="35">
        <f>47+84</f>
        <v>131</v>
      </c>
      <c r="P24" s="33">
        <f t="shared" si="0"/>
        <v>12377.6</v>
      </c>
      <c r="Q24" s="33">
        <f t="shared" si="0"/>
        <v>11918.7</v>
      </c>
      <c r="R24" s="33">
        <f t="shared" si="0"/>
        <v>7480.1</v>
      </c>
      <c r="S24" s="33">
        <f t="shared" si="1"/>
        <v>430</v>
      </c>
      <c r="T24" s="33">
        <f t="shared" si="2"/>
        <v>31776.400000000001</v>
      </c>
      <c r="U24" s="34">
        <f t="shared" si="4"/>
        <v>73.898604651162799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88.3</v>
      </c>
      <c r="F25" s="18">
        <v>66.099999999999994</v>
      </c>
      <c r="G25" s="18">
        <v>61.9</v>
      </c>
      <c r="I25" s="18">
        <f t="shared" si="3"/>
        <v>73.781853281853287</v>
      </c>
      <c r="J25" s="42">
        <f>(I25/'Urban 11-12'!I25)-1</f>
        <v>-1.1054916214264798E-3</v>
      </c>
      <c r="K25" s="16"/>
      <c r="M25" s="35">
        <f>79+25</f>
        <v>104</v>
      </c>
      <c r="N25" s="35">
        <f>48+31</f>
        <v>79</v>
      </c>
      <c r="O25" s="35">
        <f>44+32</f>
        <v>76</v>
      </c>
      <c r="P25" s="33">
        <f t="shared" si="0"/>
        <v>9183.1999999999989</v>
      </c>
      <c r="Q25" s="33">
        <f t="shared" si="0"/>
        <v>5221.8999999999996</v>
      </c>
      <c r="R25" s="33">
        <f t="shared" si="0"/>
        <v>4704.3999999999996</v>
      </c>
      <c r="S25" s="33">
        <f t="shared" si="1"/>
        <v>259</v>
      </c>
      <c r="T25" s="33">
        <f t="shared" si="2"/>
        <v>19109.5</v>
      </c>
      <c r="U25" s="34">
        <f t="shared" si="4"/>
        <v>73.781853281853287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135.9</v>
      </c>
      <c r="F26" s="18">
        <v>91.5</v>
      </c>
      <c r="G26" s="18">
        <v>75.8</v>
      </c>
      <c r="I26" s="18">
        <f t="shared" si="3"/>
        <v>100.95082706766918</v>
      </c>
      <c r="J26" s="42">
        <f>(I26/'Urban 11-12'!I26)-1</f>
        <v>8.6965633314071145E-3</v>
      </c>
      <c r="K26" s="16"/>
      <c r="M26" s="35">
        <f>339+111</f>
        <v>450</v>
      </c>
      <c r="N26" s="35">
        <f>254+154</f>
        <v>408</v>
      </c>
      <c r="O26" s="35">
        <f>212+260</f>
        <v>472</v>
      </c>
      <c r="P26" s="33">
        <f t="shared" si="0"/>
        <v>61155</v>
      </c>
      <c r="Q26" s="33">
        <f t="shared" si="0"/>
        <v>37332</v>
      </c>
      <c r="R26" s="33">
        <f t="shared" si="0"/>
        <v>35777.599999999999</v>
      </c>
      <c r="S26" s="33">
        <f t="shared" si="1"/>
        <v>1330</v>
      </c>
      <c r="T26" s="33">
        <f t="shared" si="2"/>
        <v>134264.6</v>
      </c>
      <c r="U26" s="34">
        <f t="shared" si="4"/>
        <v>100.95082706766918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97.1</v>
      </c>
      <c r="F27" s="18">
        <v>73.900000000000006</v>
      </c>
      <c r="G27" s="18">
        <v>63</v>
      </c>
      <c r="I27" s="18">
        <f t="shared" si="3"/>
        <v>79.095602605863192</v>
      </c>
      <c r="J27" s="42">
        <f>(I27/'Urban 11-12'!I27)-1</f>
        <v>4.2437202708581534E-2</v>
      </c>
      <c r="K27" s="16"/>
      <c r="M27" s="35">
        <f>163+68</f>
        <v>231</v>
      </c>
      <c r="N27" s="35">
        <f>107+77</f>
        <v>184</v>
      </c>
      <c r="O27" s="35">
        <f>88+111</f>
        <v>199</v>
      </c>
      <c r="P27" s="33">
        <f t="shared" si="0"/>
        <v>22430.1</v>
      </c>
      <c r="Q27" s="33">
        <f t="shared" si="0"/>
        <v>13597.6</v>
      </c>
      <c r="R27" s="33">
        <f t="shared" si="0"/>
        <v>12537</v>
      </c>
      <c r="S27" s="33">
        <f t="shared" si="1"/>
        <v>614</v>
      </c>
      <c r="T27" s="33">
        <f t="shared" si="2"/>
        <v>48564.7</v>
      </c>
      <c r="U27" s="34">
        <f t="shared" si="4"/>
        <v>79.095602605863192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134.6</v>
      </c>
      <c r="F28" s="18">
        <v>94.9</v>
      </c>
      <c r="G28" s="18">
        <v>71</v>
      </c>
      <c r="I28" s="18">
        <f t="shared" si="3"/>
        <v>97.115317286652086</v>
      </c>
      <c r="J28" s="42">
        <f>(I28/'Urban 11-12'!I28)-1</f>
        <v>4.2166000913437252E-3</v>
      </c>
      <c r="K28" s="16"/>
      <c r="M28" s="35">
        <f>307+97</f>
        <v>404</v>
      </c>
      <c r="N28" s="35">
        <f>241+182</f>
        <v>423</v>
      </c>
      <c r="O28" s="35">
        <f>295+249</f>
        <v>544</v>
      </c>
      <c r="P28" s="33">
        <f t="shared" si="0"/>
        <v>54378.399999999994</v>
      </c>
      <c r="Q28" s="33">
        <f t="shared" si="0"/>
        <v>40142.700000000004</v>
      </c>
      <c r="R28" s="33">
        <f t="shared" si="0"/>
        <v>38624</v>
      </c>
      <c r="S28" s="33">
        <f t="shared" si="1"/>
        <v>1371</v>
      </c>
      <c r="T28" s="33">
        <f t="shared" si="2"/>
        <v>133145.1</v>
      </c>
      <c r="U28" s="34">
        <f t="shared" si="4"/>
        <v>97.115317286652086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108.9</v>
      </c>
      <c r="F29" s="18">
        <v>83.3</v>
      </c>
      <c r="G29" s="18">
        <v>71.5</v>
      </c>
      <c r="I29" s="18">
        <f t="shared" si="3"/>
        <v>89.406336939721797</v>
      </c>
      <c r="J29" s="42">
        <f>(I29/'Urban 11-12'!I29)-1</f>
        <v>2.6343587864216866E-2</v>
      </c>
      <c r="K29" s="16"/>
      <c r="M29" s="35">
        <f>168+61</f>
        <v>229</v>
      </c>
      <c r="N29" s="35">
        <f>164+92</f>
        <v>256</v>
      </c>
      <c r="O29" s="35">
        <f>100+62</f>
        <v>162</v>
      </c>
      <c r="P29" s="33">
        <f t="shared" si="0"/>
        <v>24938.100000000002</v>
      </c>
      <c r="Q29" s="33">
        <f t="shared" si="0"/>
        <v>21324.799999999999</v>
      </c>
      <c r="R29" s="33">
        <f t="shared" si="0"/>
        <v>11583</v>
      </c>
      <c r="S29" s="33">
        <f t="shared" si="1"/>
        <v>647</v>
      </c>
      <c r="T29" s="33">
        <f t="shared" si="2"/>
        <v>57845.9</v>
      </c>
      <c r="U29" s="34">
        <f t="shared" si="4"/>
        <v>89.406336939721797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114.8</v>
      </c>
      <c r="F30" s="18">
        <v>79.2</v>
      </c>
      <c r="G30" s="18">
        <v>70.099999999999994</v>
      </c>
      <c r="I30" s="18">
        <f t="shared" si="3"/>
        <v>83.232196162046918</v>
      </c>
      <c r="J30" s="42">
        <f>(I30/'Urban 11-12'!I30)-1</f>
        <v>-1.9351431177059952E-2</v>
      </c>
      <c r="K30" s="16"/>
      <c r="M30" s="35">
        <f>146+63</f>
        <v>209</v>
      </c>
      <c r="N30" s="35">
        <f>189+138</f>
        <v>327</v>
      </c>
      <c r="O30" s="35">
        <f>180+222</f>
        <v>402</v>
      </c>
      <c r="P30" s="33">
        <f t="shared" si="0"/>
        <v>23993.200000000001</v>
      </c>
      <c r="Q30" s="33">
        <f t="shared" si="0"/>
        <v>25898.400000000001</v>
      </c>
      <c r="R30" s="33">
        <f t="shared" si="0"/>
        <v>28180.199999999997</v>
      </c>
      <c r="S30" s="33">
        <f t="shared" si="1"/>
        <v>938</v>
      </c>
      <c r="T30" s="33">
        <f t="shared" si="2"/>
        <v>78071.8</v>
      </c>
      <c r="U30" s="34">
        <f t="shared" si="4"/>
        <v>83.232196162046918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117.4</v>
      </c>
      <c r="F31" s="18">
        <v>86.9</v>
      </c>
      <c r="G31" s="18">
        <v>74.5</v>
      </c>
      <c r="I31" s="18">
        <f t="shared" si="3"/>
        <v>92.046779661016956</v>
      </c>
      <c r="J31" s="42">
        <f>(I31/'Urban 11-12'!I31)-1</f>
        <v>4.1752937967574066E-3</v>
      </c>
      <c r="K31" s="16"/>
      <c r="M31" s="35">
        <f>222+55</f>
        <v>277</v>
      </c>
      <c r="N31" s="35">
        <f>175+119</f>
        <v>294</v>
      </c>
      <c r="O31" s="35">
        <f>139+175</f>
        <v>314</v>
      </c>
      <c r="P31" s="33">
        <f t="shared" si="0"/>
        <v>32519.800000000003</v>
      </c>
      <c r="Q31" s="33">
        <f t="shared" si="0"/>
        <v>25548.600000000002</v>
      </c>
      <c r="R31" s="33">
        <f t="shared" si="0"/>
        <v>23393</v>
      </c>
      <c r="S31" s="33">
        <f t="shared" si="1"/>
        <v>885</v>
      </c>
      <c r="T31" s="33">
        <f t="shared" si="2"/>
        <v>81461.400000000009</v>
      </c>
      <c r="U31" s="34">
        <f t="shared" si="4"/>
        <v>92.046779661016956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97.1</v>
      </c>
      <c r="F32" s="18">
        <v>72.400000000000006</v>
      </c>
      <c r="G32" s="18">
        <v>69.5</v>
      </c>
      <c r="I32" s="18">
        <f t="shared" si="3"/>
        <v>77.743742255266412</v>
      </c>
      <c r="J32" s="42">
        <f>(I32/'Urban 11-12'!I32)-1</f>
        <v>1.8191257070460765E-2</v>
      </c>
      <c r="K32" s="16"/>
      <c r="M32" s="35">
        <f>143+62</f>
        <v>205</v>
      </c>
      <c r="N32" s="35">
        <f>177+166</f>
        <v>343</v>
      </c>
      <c r="O32" s="35">
        <f>120+139</f>
        <v>259</v>
      </c>
      <c r="P32" s="33">
        <f t="shared" si="0"/>
        <v>19905.5</v>
      </c>
      <c r="Q32" s="33">
        <f t="shared" si="0"/>
        <v>24833.200000000001</v>
      </c>
      <c r="R32" s="33">
        <f t="shared" si="0"/>
        <v>18000.5</v>
      </c>
      <c r="S32" s="33">
        <f t="shared" si="1"/>
        <v>807</v>
      </c>
      <c r="T32" s="33">
        <f t="shared" si="2"/>
        <v>62739.199999999997</v>
      </c>
      <c r="U32" s="34">
        <f t="shared" si="4"/>
        <v>77.743742255266412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117.92473030734784</v>
      </c>
      <c r="F34" s="38">
        <f>Q34/N34</f>
        <v>82.828124431508101</v>
      </c>
      <c r="G34" s="38">
        <f t="shared" ref="G34" si="5">R34/O34</f>
        <v>71.141180937915323</v>
      </c>
      <c r="H34" s="36"/>
      <c r="I34" s="38">
        <f t="shared" ref="I34" si="6">U34</f>
        <v>89.900554953116028</v>
      </c>
      <c r="J34" s="43">
        <f>(I34/'Urban 11-12'!I34)-1</f>
        <v>1.1885822656937606E-2</v>
      </c>
      <c r="K34" s="16"/>
      <c r="M34" s="37">
        <f t="shared" ref="M34:R34" si="7">SUM(M12:M32)</f>
        <v>4913</v>
      </c>
      <c r="N34" s="37">
        <f t="shared" si="7"/>
        <v>5497</v>
      </c>
      <c r="O34" s="37">
        <f t="shared" si="7"/>
        <v>5267</v>
      </c>
      <c r="P34" s="37">
        <f t="shared" si="7"/>
        <v>579364.19999999995</v>
      </c>
      <c r="Q34" s="37">
        <f t="shared" si="7"/>
        <v>455306.2</v>
      </c>
      <c r="R34" s="37">
        <f t="shared" si="7"/>
        <v>374700.60000000003</v>
      </c>
      <c r="S34" s="33">
        <f>M34+N34+O34</f>
        <v>15677</v>
      </c>
      <c r="T34" s="33">
        <f>P34+Q34+R34</f>
        <v>1409371</v>
      </c>
      <c r="U34" s="34">
        <f>T34/S34</f>
        <v>89.900554953116028</v>
      </c>
    </row>
    <row r="35" spans="1:21" ht="13.5" customHeight="1" x14ac:dyDescent="0.2">
      <c r="A35" s="17"/>
      <c r="D35" s="41" t="s">
        <v>44</v>
      </c>
      <c r="E35" s="38">
        <f>MEDIAN(E12:E32)</f>
        <v>112.8</v>
      </c>
      <c r="F35" s="38">
        <f>MEDIAN(F12:F32)</f>
        <v>80.150000000000006</v>
      </c>
      <c r="G35" s="38">
        <f>MEDIAN(G12:G32)</f>
        <v>70.55</v>
      </c>
      <c r="H35" s="36"/>
      <c r="I35" s="38">
        <f>MEDIAN(I12:I32)</f>
        <v>87.104473816971037</v>
      </c>
      <c r="J35" s="43">
        <f>(I35/'Urban 11-12'!I35)-1</f>
        <v>5.6751662438554451E-3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19</v>
      </c>
      <c r="K38" s="16"/>
    </row>
    <row r="39" spans="1:21" ht="13.5" customHeight="1" x14ac:dyDescent="0.2">
      <c r="A39" s="17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46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47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124.9</v>
      </c>
      <c r="F12" s="18">
        <v>83.4</v>
      </c>
      <c r="G12" s="18">
        <v>71.3</v>
      </c>
      <c r="I12" s="18">
        <f>U12</f>
        <v>90.360808435852377</v>
      </c>
      <c r="J12" s="42">
        <f>(I12/'Urban 10-11'!I12)-1</f>
        <v>5.993810175949954E-2</v>
      </c>
      <c r="K12" s="16"/>
      <c r="M12" s="35">
        <f>117+42</f>
        <v>159</v>
      </c>
      <c r="N12" s="35">
        <f>112+80</f>
        <v>192</v>
      </c>
      <c r="O12" s="35">
        <f>97+121</f>
        <v>218</v>
      </c>
      <c r="P12" s="33">
        <f t="shared" ref="P12:R32" si="0">E12*M12</f>
        <v>19859.100000000002</v>
      </c>
      <c r="Q12" s="33">
        <f t="shared" si="0"/>
        <v>16012.800000000001</v>
      </c>
      <c r="R12" s="33">
        <f t="shared" si="0"/>
        <v>15543.4</v>
      </c>
      <c r="S12" s="33">
        <f t="shared" ref="S12:S32" si="1">M12+N12+O12</f>
        <v>569</v>
      </c>
      <c r="T12" s="33">
        <f t="shared" ref="T12:T32" si="2">P12+Q12+R12</f>
        <v>51415.3</v>
      </c>
      <c r="U12" s="34">
        <f>T12/S12</f>
        <v>90.360808435852377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108.3</v>
      </c>
      <c r="F13" s="18">
        <v>78.5</v>
      </c>
      <c r="G13" s="18">
        <v>62</v>
      </c>
      <c r="I13" s="18">
        <f t="shared" ref="I13:I32" si="3">U13</f>
        <v>85.148974358974343</v>
      </c>
      <c r="J13" s="42">
        <f>(I13/'Urban 10-11'!I13)-1</f>
        <v>2.1890913612097496E-2</v>
      </c>
      <c r="K13" s="16"/>
      <c r="M13" s="35">
        <f>324+117</f>
        <v>441</v>
      </c>
      <c r="N13" s="35">
        <f>218+186</f>
        <v>404</v>
      </c>
      <c r="O13" s="35">
        <f>138+187</f>
        <v>325</v>
      </c>
      <c r="P13" s="33">
        <f t="shared" si="0"/>
        <v>47760.299999999996</v>
      </c>
      <c r="Q13" s="33">
        <f t="shared" si="0"/>
        <v>31714</v>
      </c>
      <c r="R13" s="33">
        <f t="shared" si="0"/>
        <v>20150</v>
      </c>
      <c r="S13" s="33">
        <f t="shared" si="1"/>
        <v>1170</v>
      </c>
      <c r="T13" s="33">
        <f t="shared" si="2"/>
        <v>99624.299999999988</v>
      </c>
      <c r="U13" s="34">
        <f t="shared" ref="U13:U32" si="4">T13/S13</f>
        <v>85.148974358974343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98.9</v>
      </c>
      <c r="F14" s="18">
        <v>72.099999999999994</v>
      </c>
      <c r="G14" s="18">
        <v>64.5</v>
      </c>
      <c r="I14" s="18">
        <f t="shared" si="3"/>
        <v>78.589361702127661</v>
      </c>
      <c r="J14" s="42">
        <f>(I14/'Urban 10-11'!I14)-1</f>
        <v>9.8960989426488677E-3</v>
      </c>
      <c r="K14" s="16"/>
      <c r="M14" s="35">
        <f>107+38</f>
        <v>145</v>
      </c>
      <c r="N14" s="35">
        <f>133+82</f>
        <v>215</v>
      </c>
      <c r="O14" s="35">
        <f>55+55</f>
        <v>110</v>
      </c>
      <c r="P14" s="33">
        <f t="shared" si="0"/>
        <v>14340.5</v>
      </c>
      <c r="Q14" s="33">
        <f t="shared" si="0"/>
        <v>15501.499999999998</v>
      </c>
      <c r="R14" s="33">
        <f t="shared" si="0"/>
        <v>7095</v>
      </c>
      <c r="S14" s="33">
        <f t="shared" si="1"/>
        <v>470</v>
      </c>
      <c r="T14" s="33">
        <f t="shared" si="2"/>
        <v>36937</v>
      </c>
      <c r="U14" s="34">
        <f t="shared" si="4"/>
        <v>78.589361702127661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121.5</v>
      </c>
      <c r="F15" s="18">
        <v>92.4</v>
      </c>
      <c r="G15" s="18">
        <v>77</v>
      </c>
      <c r="I15" s="18">
        <f t="shared" si="3"/>
        <v>101.18984674329502</v>
      </c>
      <c r="J15" s="42">
        <f>(I15/'Urban 10-11'!I15)-1</f>
        <v>4.2328863458716004E-3</v>
      </c>
      <c r="K15" s="16"/>
      <c r="M15" s="35">
        <f>166+61</f>
        <v>227</v>
      </c>
      <c r="N15" s="35">
        <f>91+73</f>
        <v>164</v>
      </c>
      <c r="O15" s="35">
        <f>67+64</f>
        <v>131</v>
      </c>
      <c r="P15" s="33">
        <f t="shared" si="0"/>
        <v>27580.5</v>
      </c>
      <c r="Q15" s="33">
        <f t="shared" si="0"/>
        <v>15153.6</v>
      </c>
      <c r="R15" s="33">
        <f t="shared" si="0"/>
        <v>10087</v>
      </c>
      <c r="S15" s="33">
        <f t="shared" si="1"/>
        <v>522</v>
      </c>
      <c r="T15" s="33">
        <f t="shared" si="2"/>
        <v>52821.1</v>
      </c>
      <c r="U15" s="34">
        <f t="shared" si="4"/>
        <v>101.18984674329502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115.8</v>
      </c>
      <c r="F16" s="18">
        <v>83.7</v>
      </c>
      <c r="G16" s="18">
        <v>74.8</v>
      </c>
      <c r="I16" s="18">
        <f t="shared" si="3"/>
        <v>90.603337969401935</v>
      </c>
      <c r="J16" s="42">
        <f>(I16/'Urban 10-11'!I16)-1</f>
        <v>7.2043698614918661E-3</v>
      </c>
      <c r="K16" s="16"/>
      <c r="M16" s="35">
        <f>176+46</f>
        <v>222</v>
      </c>
      <c r="N16" s="35">
        <f>159+95</f>
        <v>254</v>
      </c>
      <c r="O16" s="35">
        <f>127+116</f>
        <v>243</v>
      </c>
      <c r="P16" s="33">
        <f t="shared" si="0"/>
        <v>25707.599999999999</v>
      </c>
      <c r="Q16" s="33">
        <f t="shared" si="0"/>
        <v>21259.8</v>
      </c>
      <c r="R16" s="33">
        <f t="shared" si="0"/>
        <v>18176.399999999998</v>
      </c>
      <c r="S16" s="33">
        <f t="shared" si="1"/>
        <v>719</v>
      </c>
      <c r="T16" s="33">
        <f t="shared" si="2"/>
        <v>65143.799999999988</v>
      </c>
      <c r="U16" s="34">
        <f t="shared" si="4"/>
        <v>90.603337969401935</v>
      </c>
    </row>
    <row r="17" spans="1:21" ht="13.5" customHeight="1" x14ac:dyDescent="0.2">
      <c r="A17" s="17"/>
      <c r="C17" s="29">
        <v>6</v>
      </c>
      <c r="D17" s="1" t="s">
        <v>27</v>
      </c>
      <c r="E17" s="18">
        <v>122.1</v>
      </c>
      <c r="F17" s="18">
        <v>78.400000000000006</v>
      </c>
      <c r="G17" s="18">
        <v>69.3</v>
      </c>
      <c r="I17" s="18">
        <f t="shared" si="3"/>
        <v>86.612931034482756</v>
      </c>
      <c r="J17" s="42">
        <f>(I17/'Urban 10-11'!I17)-1</f>
        <v>9.3899549816691685E-3</v>
      </c>
      <c r="K17" s="16"/>
      <c r="M17" s="35">
        <f>180+65</f>
        <v>245</v>
      </c>
      <c r="N17" s="35">
        <f>177+167</f>
        <v>344</v>
      </c>
      <c r="O17" s="35">
        <f>153+186</f>
        <v>339</v>
      </c>
      <c r="P17" s="33">
        <f t="shared" si="0"/>
        <v>29914.5</v>
      </c>
      <c r="Q17" s="33">
        <f t="shared" si="0"/>
        <v>26969.600000000002</v>
      </c>
      <c r="R17" s="33">
        <f t="shared" si="0"/>
        <v>23492.7</v>
      </c>
      <c r="S17" s="33">
        <f t="shared" si="1"/>
        <v>928</v>
      </c>
      <c r="T17" s="33">
        <f t="shared" si="2"/>
        <v>80376.800000000003</v>
      </c>
      <c r="U17" s="34">
        <f t="shared" si="4"/>
        <v>86.612931034482756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128.80000000000001</v>
      </c>
      <c r="F18" s="18">
        <v>84.5</v>
      </c>
      <c r="G18" s="18">
        <v>81</v>
      </c>
      <c r="I18" s="18">
        <f t="shared" si="3"/>
        <v>103.16615214994489</v>
      </c>
      <c r="J18" s="42">
        <f>(I18/'Urban 10-11'!I18)-1</f>
        <v>8.4393114467793406E-3</v>
      </c>
      <c r="K18" s="16"/>
      <c r="M18" s="35">
        <f>330+69</f>
        <v>399</v>
      </c>
      <c r="N18" s="35">
        <f>188+107</f>
        <v>295</v>
      </c>
      <c r="O18" s="35">
        <f>115+98</f>
        <v>213</v>
      </c>
      <c r="P18" s="33">
        <f t="shared" si="0"/>
        <v>51391.200000000004</v>
      </c>
      <c r="Q18" s="33">
        <f t="shared" si="0"/>
        <v>24927.5</v>
      </c>
      <c r="R18" s="33">
        <f t="shared" si="0"/>
        <v>17253</v>
      </c>
      <c r="S18" s="33">
        <f t="shared" si="1"/>
        <v>907</v>
      </c>
      <c r="T18" s="33">
        <f t="shared" si="2"/>
        <v>93571.700000000012</v>
      </c>
      <c r="U18" s="34">
        <f t="shared" si="4"/>
        <v>103.16615214994489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129.19999999999999</v>
      </c>
      <c r="F19" s="18">
        <v>89.1</v>
      </c>
      <c r="G19" s="18">
        <v>77.599999999999994</v>
      </c>
      <c r="I19" s="18">
        <f t="shared" si="3"/>
        <v>100.52666666666664</v>
      </c>
      <c r="J19" s="42">
        <f>(I19/'Urban 10-11'!I19)-1</f>
        <v>3.4617003162466187E-2</v>
      </c>
      <c r="K19" s="16"/>
      <c r="M19" s="35">
        <f>241+106</f>
        <v>347</v>
      </c>
      <c r="N19" s="35">
        <f>188+139</f>
        <v>327</v>
      </c>
      <c r="O19" s="35">
        <f>123+148</f>
        <v>271</v>
      </c>
      <c r="P19" s="33">
        <f t="shared" si="0"/>
        <v>44832.399999999994</v>
      </c>
      <c r="Q19" s="33">
        <f t="shared" si="0"/>
        <v>29135.699999999997</v>
      </c>
      <c r="R19" s="33">
        <f t="shared" si="0"/>
        <v>21029.599999999999</v>
      </c>
      <c r="S19" s="33">
        <f t="shared" si="1"/>
        <v>945</v>
      </c>
      <c r="T19" s="33">
        <f t="shared" si="2"/>
        <v>94997.699999999983</v>
      </c>
      <c r="U19" s="34">
        <f t="shared" si="4"/>
        <v>100.52666666666664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105.5</v>
      </c>
      <c r="F20" s="18">
        <v>78</v>
      </c>
      <c r="G20" s="18">
        <v>65.099999999999994</v>
      </c>
      <c r="I20" s="18">
        <f t="shared" si="3"/>
        <v>81.130112923462988</v>
      </c>
      <c r="J20" s="42">
        <f>(I20/'Urban 10-11'!I20)-1</f>
        <v>4.7858972495344432E-2</v>
      </c>
      <c r="K20" s="16"/>
      <c r="M20" s="35">
        <f>155+68</f>
        <v>223</v>
      </c>
      <c r="N20" s="35">
        <f>154+138</f>
        <v>292</v>
      </c>
      <c r="O20" s="35">
        <f>134+148</f>
        <v>282</v>
      </c>
      <c r="P20" s="33">
        <f t="shared" si="0"/>
        <v>23526.5</v>
      </c>
      <c r="Q20" s="33">
        <f t="shared" si="0"/>
        <v>22776</v>
      </c>
      <c r="R20" s="33">
        <f t="shared" si="0"/>
        <v>18358.199999999997</v>
      </c>
      <c r="S20" s="33">
        <f t="shared" si="1"/>
        <v>797</v>
      </c>
      <c r="T20" s="33">
        <f t="shared" si="2"/>
        <v>64660.7</v>
      </c>
      <c r="U20" s="34">
        <f t="shared" si="4"/>
        <v>81.130112923462988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115.7</v>
      </c>
      <c r="F21" s="18">
        <v>87.2</v>
      </c>
      <c r="G21" s="18">
        <v>76.8</v>
      </c>
      <c r="I21" s="18">
        <f t="shared" si="3"/>
        <v>91.690070921985821</v>
      </c>
      <c r="J21" s="42">
        <f>(I21/'Urban 10-11'!I21)-1</f>
        <v>2.2839054446713192E-2</v>
      </c>
      <c r="K21" s="16"/>
      <c r="M21" s="35">
        <f>70+47</f>
        <v>117</v>
      </c>
      <c r="N21" s="35">
        <f>89+79</f>
        <v>168</v>
      </c>
      <c r="O21" s="35">
        <f>59+79</f>
        <v>138</v>
      </c>
      <c r="P21" s="33">
        <f t="shared" si="0"/>
        <v>13536.9</v>
      </c>
      <c r="Q21" s="33">
        <f t="shared" si="0"/>
        <v>14649.6</v>
      </c>
      <c r="R21" s="33">
        <f t="shared" si="0"/>
        <v>10598.4</v>
      </c>
      <c r="S21" s="33">
        <f t="shared" si="1"/>
        <v>423</v>
      </c>
      <c r="T21" s="33">
        <f t="shared" si="2"/>
        <v>38784.9</v>
      </c>
      <c r="U21" s="34">
        <f t="shared" si="4"/>
        <v>91.690070921985821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102.1</v>
      </c>
      <c r="F22" s="18">
        <v>72.3</v>
      </c>
      <c r="G22" s="18">
        <v>61.7</v>
      </c>
      <c r="I22" s="18">
        <f t="shared" si="3"/>
        <v>78.703102961918191</v>
      </c>
      <c r="J22" s="42">
        <f>(I22/'Urban 10-11'!I22)-1</f>
        <v>3.4030899658843206E-2</v>
      </c>
      <c r="K22" s="16"/>
      <c r="M22" s="35">
        <f>191+46</f>
        <v>237</v>
      </c>
      <c r="N22" s="35">
        <f>140+94</f>
        <v>234</v>
      </c>
      <c r="O22" s="35">
        <f>104+134</f>
        <v>238</v>
      </c>
      <c r="P22" s="33">
        <f t="shared" si="0"/>
        <v>24197.699999999997</v>
      </c>
      <c r="Q22" s="33">
        <f t="shared" si="0"/>
        <v>16918.2</v>
      </c>
      <c r="R22" s="33">
        <f t="shared" si="0"/>
        <v>14684.6</v>
      </c>
      <c r="S22" s="33">
        <f t="shared" si="1"/>
        <v>709</v>
      </c>
      <c r="T22" s="33">
        <f t="shared" si="2"/>
        <v>55800.499999999993</v>
      </c>
      <c r="U22" s="34">
        <f t="shared" si="4"/>
        <v>78.703102961918191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108.2</v>
      </c>
      <c r="F23" s="23">
        <v>77.8</v>
      </c>
      <c r="G23" s="23">
        <v>63.5</v>
      </c>
      <c r="H23" s="22"/>
      <c r="I23" s="23">
        <f t="shared" si="3"/>
        <v>80.910471204188482</v>
      </c>
      <c r="J23" s="44">
        <f>(I23/'Urban 10-11'!I23)-1</f>
        <v>1.9268847854839732E-2</v>
      </c>
      <c r="K23" s="16"/>
      <c r="M23" s="35">
        <f>110+46</f>
        <v>156</v>
      </c>
      <c r="N23" s="35">
        <f>121+89</f>
        <v>210</v>
      </c>
      <c r="O23" s="35">
        <f>103+104</f>
        <v>207</v>
      </c>
      <c r="P23" s="33">
        <f t="shared" si="0"/>
        <v>16879.2</v>
      </c>
      <c r="Q23" s="33">
        <f t="shared" si="0"/>
        <v>16338</v>
      </c>
      <c r="R23" s="33">
        <f t="shared" si="0"/>
        <v>13144.5</v>
      </c>
      <c r="S23" s="33">
        <f t="shared" si="1"/>
        <v>573</v>
      </c>
      <c r="T23" s="33">
        <f t="shared" si="2"/>
        <v>46361.7</v>
      </c>
      <c r="U23" s="34">
        <f t="shared" si="4"/>
        <v>80.910471204188482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94.7</v>
      </c>
      <c r="F24" s="23">
        <v>69.8</v>
      </c>
      <c r="G24" s="23">
        <v>59.3</v>
      </c>
      <c r="H24" s="22"/>
      <c r="I24" s="23">
        <f t="shared" si="3"/>
        <v>74.081042654028423</v>
      </c>
      <c r="J24" s="44">
        <f>(I24/'Urban 10-11'!I24)-1</f>
        <v>1.5926021811045299E-2</v>
      </c>
      <c r="K24" s="16"/>
      <c r="M24" s="35">
        <f>87+37</f>
        <v>124</v>
      </c>
      <c r="N24" s="35">
        <f>82+94</f>
        <v>176</v>
      </c>
      <c r="O24" s="35">
        <f>41+81</f>
        <v>122</v>
      </c>
      <c r="P24" s="33">
        <f t="shared" si="0"/>
        <v>11742.800000000001</v>
      </c>
      <c r="Q24" s="33">
        <f t="shared" si="0"/>
        <v>12284.8</v>
      </c>
      <c r="R24" s="33">
        <f t="shared" si="0"/>
        <v>7234.5999999999995</v>
      </c>
      <c r="S24" s="33">
        <f t="shared" si="1"/>
        <v>422</v>
      </c>
      <c r="T24" s="33">
        <f t="shared" si="2"/>
        <v>31262.199999999997</v>
      </c>
      <c r="U24" s="34">
        <f t="shared" si="4"/>
        <v>74.081042654028423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88</v>
      </c>
      <c r="F25" s="18">
        <v>64.7</v>
      </c>
      <c r="G25" s="18">
        <v>61.4</v>
      </c>
      <c r="I25" s="18">
        <f t="shared" si="3"/>
        <v>73.863508771929816</v>
      </c>
      <c r="J25" s="42">
        <f>(I25/'Urban 10-11'!I25)-1</f>
        <v>-6.9570851249396437E-3</v>
      </c>
      <c r="K25" s="16"/>
      <c r="M25" s="35">
        <f>91+31</f>
        <v>122</v>
      </c>
      <c r="N25" s="35">
        <f>59+34</f>
        <v>93</v>
      </c>
      <c r="O25" s="35">
        <f>43+27</f>
        <v>70</v>
      </c>
      <c r="P25" s="33">
        <f t="shared" si="0"/>
        <v>10736</v>
      </c>
      <c r="Q25" s="33">
        <f t="shared" si="0"/>
        <v>6017.1</v>
      </c>
      <c r="R25" s="33">
        <f t="shared" si="0"/>
        <v>4298</v>
      </c>
      <c r="S25" s="33">
        <f t="shared" si="1"/>
        <v>285</v>
      </c>
      <c r="T25" s="33">
        <f t="shared" si="2"/>
        <v>21051.1</v>
      </c>
      <c r="U25" s="34">
        <f t="shared" si="4"/>
        <v>73.863508771929816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134.80000000000001</v>
      </c>
      <c r="F26" s="18">
        <v>90</v>
      </c>
      <c r="G26" s="18">
        <v>75</v>
      </c>
      <c r="I26" s="18">
        <f t="shared" si="3"/>
        <v>100.08047091412743</v>
      </c>
      <c r="J26" s="42">
        <f>(I26/'Urban 10-11'!I26)-1</f>
        <v>1.6551656281545979E-2</v>
      </c>
      <c r="K26" s="16"/>
      <c r="M26" s="35">
        <f>376+118</f>
        <v>494</v>
      </c>
      <c r="N26" s="35">
        <f>286+159</f>
        <v>445</v>
      </c>
      <c r="O26" s="35">
        <f>231+274</f>
        <v>505</v>
      </c>
      <c r="P26" s="33">
        <f t="shared" si="0"/>
        <v>66591.200000000012</v>
      </c>
      <c r="Q26" s="33">
        <f t="shared" si="0"/>
        <v>40050</v>
      </c>
      <c r="R26" s="33">
        <f t="shared" si="0"/>
        <v>37875</v>
      </c>
      <c r="S26" s="33">
        <f t="shared" si="1"/>
        <v>1444</v>
      </c>
      <c r="T26" s="33">
        <f t="shared" si="2"/>
        <v>144516.20000000001</v>
      </c>
      <c r="U26" s="34">
        <f t="shared" si="4"/>
        <v>100.08047091412743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92.8</v>
      </c>
      <c r="F27" s="18">
        <v>73.599999999999994</v>
      </c>
      <c r="G27" s="18">
        <v>60.3</v>
      </c>
      <c r="I27" s="18">
        <f t="shared" si="3"/>
        <v>75.875652173913025</v>
      </c>
      <c r="J27" s="42">
        <f>(I27/'Urban 10-11'!I27)-1</f>
        <v>5.4891764375124552E-3</v>
      </c>
      <c r="K27" s="16"/>
      <c r="M27" s="35">
        <f>143+63</f>
        <v>206</v>
      </c>
      <c r="N27" s="35">
        <f>103+67</f>
        <v>170</v>
      </c>
      <c r="O27" s="35">
        <f>88+111</f>
        <v>199</v>
      </c>
      <c r="P27" s="33">
        <f t="shared" si="0"/>
        <v>19116.8</v>
      </c>
      <c r="Q27" s="33">
        <f t="shared" si="0"/>
        <v>12511.999999999998</v>
      </c>
      <c r="R27" s="33">
        <f t="shared" si="0"/>
        <v>11999.699999999999</v>
      </c>
      <c r="S27" s="33">
        <f t="shared" si="1"/>
        <v>575</v>
      </c>
      <c r="T27" s="33">
        <f t="shared" si="2"/>
        <v>43628.499999999993</v>
      </c>
      <c r="U27" s="34">
        <f t="shared" si="4"/>
        <v>75.875652173913025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134</v>
      </c>
      <c r="F28" s="18">
        <v>94.1</v>
      </c>
      <c r="G28" s="18">
        <v>70</v>
      </c>
      <c r="I28" s="18">
        <f t="shared" si="3"/>
        <v>96.707540263543194</v>
      </c>
      <c r="J28" s="42">
        <f>(I28/'Urban 10-11'!I28)-1</f>
        <v>5.9207137208053151E-2</v>
      </c>
      <c r="K28" s="16"/>
      <c r="M28" s="35">
        <f>312+98</f>
        <v>410</v>
      </c>
      <c r="N28" s="35">
        <f>235+190</f>
        <v>425</v>
      </c>
      <c r="O28" s="35">
        <f>292+239</f>
        <v>531</v>
      </c>
      <c r="P28" s="33">
        <f t="shared" si="0"/>
        <v>54940</v>
      </c>
      <c r="Q28" s="33">
        <f t="shared" si="0"/>
        <v>39992.5</v>
      </c>
      <c r="R28" s="33">
        <f t="shared" si="0"/>
        <v>37170</v>
      </c>
      <c r="S28" s="33">
        <f t="shared" si="1"/>
        <v>1366</v>
      </c>
      <c r="T28" s="33">
        <f t="shared" si="2"/>
        <v>132102.5</v>
      </c>
      <c r="U28" s="34">
        <f t="shared" si="4"/>
        <v>96.707540263543194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106.8</v>
      </c>
      <c r="F29" s="18">
        <v>83</v>
      </c>
      <c r="G29" s="18">
        <v>68.599999999999994</v>
      </c>
      <c r="I29" s="18">
        <f t="shared" si="3"/>
        <v>87.111507293354933</v>
      </c>
      <c r="J29" s="42">
        <f>(I29/'Urban 10-11'!I29)-1</f>
        <v>5.4704296239125316E-3</v>
      </c>
      <c r="K29" s="16"/>
      <c r="M29" s="35">
        <f>149+55</f>
        <v>204</v>
      </c>
      <c r="N29" s="35">
        <f>164+88</f>
        <v>252</v>
      </c>
      <c r="O29" s="35">
        <f>92+69</f>
        <v>161</v>
      </c>
      <c r="P29" s="33">
        <f t="shared" si="0"/>
        <v>21787.200000000001</v>
      </c>
      <c r="Q29" s="33">
        <f t="shared" si="0"/>
        <v>20916</v>
      </c>
      <c r="R29" s="33">
        <f t="shared" si="0"/>
        <v>11044.599999999999</v>
      </c>
      <c r="S29" s="33">
        <f t="shared" si="1"/>
        <v>617</v>
      </c>
      <c r="T29" s="33">
        <f t="shared" si="2"/>
        <v>53747.799999999996</v>
      </c>
      <c r="U29" s="34">
        <f t="shared" si="4"/>
        <v>87.111507293354933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118.6</v>
      </c>
      <c r="F30" s="18">
        <v>79.900000000000006</v>
      </c>
      <c r="G30" s="18">
        <v>68.8</v>
      </c>
      <c r="I30" s="18">
        <f t="shared" si="3"/>
        <v>84.874641954507169</v>
      </c>
      <c r="J30" s="42">
        <f>(I30/'Urban 10-11'!I30)-1</f>
        <v>1.4262692798697074E-2</v>
      </c>
      <c r="K30" s="16"/>
      <c r="M30" s="35">
        <f>214+84</f>
        <v>298</v>
      </c>
      <c r="N30" s="35">
        <f>223+159</f>
        <v>382</v>
      </c>
      <c r="O30" s="35">
        <f>249+258</f>
        <v>507</v>
      </c>
      <c r="P30" s="33">
        <f t="shared" si="0"/>
        <v>35342.799999999996</v>
      </c>
      <c r="Q30" s="33">
        <f t="shared" si="0"/>
        <v>30521.800000000003</v>
      </c>
      <c r="R30" s="33">
        <f t="shared" si="0"/>
        <v>34881.599999999999</v>
      </c>
      <c r="S30" s="33">
        <f t="shared" si="1"/>
        <v>1187</v>
      </c>
      <c r="T30" s="33">
        <f t="shared" si="2"/>
        <v>100746.20000000001</v>
      </c>
      <c r="U30" s="34">
        <f t="shared" si="4"/>
        <v>84.874641954507169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116.6</v>
      </c>
      <c r="F31" s="18">
        <v>87.7</v>
      </c>
      <c r="G31" s="18">
        <v>75</v>
      </c>
      <c r="I31" s="18">
        <f t="shared" si="3"/>
        <v>91.664055299539157</v>
      </c>
      <c r="J31" s="42">
        <f>(I31/'Urban 10-11'!I31)-1</f>
        <v>1.7540063736578126E-2</v>
      </c>
      <c r="K31" s="16"/>
      <c r="M31" s="35">
        <f>209+52</f>
        <v>261</v>
      </c>
      <c r="N31" s="35">
        <f>174+110</f>
        <v>284</v>
      </c>
      <c r="O31" s="35">
        <f>150+173</f>
        <v>323</v>
      </c>
      <c r="P31" s="33">
        <f t="shared" si="0"/>
        <v>30432.6</v>
      </c>
      <c r="Q31" s="33">
        <f t="shared" si="0"/>
        <v>24906.799999999999</v>
      </c>
      <c r="R31" s="33">
        <f t="shared" si="0"/>
        <v>24225</v>
      </c>
      <c r="S31" s="33">
        <f t="shared" si="1"/>
        <v>868</v>
      </c>
      <c r="T31" s="33">
        <f t="shared" si="2"/>
        <v>79564.399999999994</v>
      </c>
      <c r="U31" s="34">
        <f t="shared" si="4"/>
        <v>91.664055299539157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95.6</v>
      </c>
      <c r="F32" s="18">
        <v>71.2</v>
      </c>
      <c r="G32" s="18">
        <v>67.7</v>
      </c>
      <c r="I32" s="18">
        <f t="shared" si="3"/>
        <v>76.354753309265945</v>
      </c>
      <c r="J32" s="42">
        <f>(I32/'Urban 10-11'!I32)-1</f>
        <v>-1.1139615090981492E-3</v>
      </c>
      <c r="K32" s="16"/>
      <c r="M32" s="35">
        <f>149+65</f>
        <v>214</v>
      </c>
      <c r="N32" s="35">
        <f>195+154</f>
        <v>349</v>
      </c>
      <c r="O32" s="35">
        <f>122+146</f>
        <v>268</v>
      </c>
      <c r="P32" s="33">
        <f t="shared" si="0"/>
        <v>20458.399999999998</v>
      </c>
      <c r="Q32" s="33">
        <f t="shared" si="0"/>
        <v>24848.799999999999</v>
      </c>
      <c r="R32" s="33">
        <f t="shared" si="0"/>
        <v>18143.600000000002</v>
      </c>
      <c r="S32" s="33">
        <f t="shared" si="1"/>
        <v>831</v>
      </c>
      <c r="T32" s="33">
        <f t="shared" si="2"/>
        <v>63450.8</v>
      </c>
      <c r="U32" s="34">
        <f t="shared" si="4"/>
        <v>76.354753309265945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116.29674347743288</v>
      </c>
      <c r="F34" s="38">
        <f>Q34/N34</f>
        <v>81.657462555066076</v>
      </c>
      <c r="G34" s="38">
        <f t="shared" ref="G34" si="5">R34/O34</f>
        <v>69.706517311608948</v>
      </c>
      <c r="H34" s="36"/>
      <c r="I34" s="38">
        <f t="shared" ref="I34" si="6">U34</f>
        <v>88.844564218778714</v>
      </c>
      <c r="J34" s="43">
        <f>(I34/'Urban 10-11'!I34)-1</f>
        <v>2.2108626317803859E-2</v>
      </c>
      <c r="K34" s="16"/>
      <c r="M34" s="37">
        <f t="shared" ref="M34:R34" si="7">SUM(M12:M32)</f>
        <v>5251</v>
      </c>
      <c r="N34" s="37">
        <f t="shared" si="7"/>
        <v>5675</v>
      </c>
      <c r="O34" s="37">
        <f t="shared" si="7"/>
        <v>5401</v>
      </c>
      <c r="P34" s="37">
        <f t="shared" si="7"/>
        <v>610674.20000000007</v>
      </c>
      <c r="Q34" s="37">
        <f t="shared" si="7"/>
        <v>463406.1</v>
      </c>
      <c r="R34" s="37">
        <f t="shared" si="7"/>
        <v>376484.89999999991</v>
      </c>
      <c r="S34" s="33">
        <f>M34+N34+O34</f>
        <v>16327</v>
      </c>
      <c r="T34" s="33">
        <f>P34+Q34+R34</f>
        <v>1450565.2</v>
      </c>
      <c r="U34" s="34">
        <f>T34/S34</f>
        <v>88.844564218778714</v>
      </c>
    </row>
    <row r="35" spans="1:21" ht="13.5" customHeight="1" x14ac:dyDescent="0.2">
      <c r="A35" s="17"/>
      <c r="D35" s="41" t="s">
        <v>44</v>
      </c>
      <c r="E35" s="38">
        <f>MEDIAN(E12:E32)</f>
        <v>115.7</v>
      </c>
      <c r="F35" s="38">
        <f>MEDIAN(F12:F32)</f>
        <v>79.900000000000006</v>
      </c>
      <c r="G35" s="38">
        <f>MEDIAN(G12:G32)</f>
        <v>68.8</v>
      </c>
      <c r="H35" s="36"/>
      <c r="I35" s="38">
        <f>MEDIAN(I12:I32)</f>
        <v>86.612931034482756</v>
      </c>
      <c r="J35" s="43">
        <f>(I35/'Urban 10-11'!I35)-1</f>
        <v>1.5975258495927402E-2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19</v>
      </c>
      <c r="K38" s="16"/>
    </row>
    <row r="39" spans="1:21" ht="13.5" customHeight="1" x14ac:dyDescent="0.2">
      <c r="A39" s="17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48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49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116.3</v>
      </c>
      <c r="F12" s="18">
        <v>80.2</v>
      </c>
      <c r="G12" s="18">
        <v>66.5</v>
      </c>
      <c r="I12" s="18">
        <f>U12</f>
        <v>85.251023890784978</v>
      </c>
      <c r="J12" s="42">
        <f>(I12/'Urban 09-10'!I12)-1</f>
        <v>2.1730479360767108E-2</v>
      </c>
      <c r="K12" s="16"/>
      <c r="M12" s="35">
        <f>120+47</f>
        <v>167</v>
      </c>
      <c r="N12" s="35">
        <f>112+83</f>
        <v>195</v>
      </c>
      <c r="O12" s="35">
        <f>97+127</f>
        <v>224</v>
      </c>
      <c r="P12" s="33">
        <f t="shared" ref="P12:R32" si="0">E12*M12</f>
        <v>19422.099999999999</v>
      </c>
      <c r="Q12" s="33">
        <f t="shared" si="0"/>
        <v>15639</v>
      </c>
      <c r="R12" s="33">
        <f t="shared" si="0"/>
        <v>14896</v>
      </c>
      <c r="S12" s="33">
        <f t="shared" ref="S12:S32" si="1">M12+N12+O12</f>
        <v>586</v>
      </c>
      <c r="T12" s="33">
        <f t="shared" ref="T12:T32" si="2">P12+Q12+R12</f>
        <v>49957.1</v>
      </c>
      <c r="U12" s="34">
        <f>T12/S12</f>
        <v>85.251023890784978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105.5</v>
      </c>
      <c r="F13" s="18">
        <v>76.599999999999994</v>
      </c>
      <c r="G13" s="18">
        <v>60.9</v>
      </c>
      <c r="I13" s="18">
        <f t="shared" ref="I13:I32" si="3">U13</f>
        <v>83.32491582491582</v>
      </c>
      <c r="J13" s="42">
        <f>(I13/'Urban 09-10'!I13)-1</f>
        <v>1.961171344634538E-2</v>
      </c>
      <c r="K13" s="16"/>
      <c r="M13" s="35">
        <f>327+126</f>
        <v>453</v>
      </c>
      <c r="N13" s="35">
        <f>226+184</f>
        <v>410</v>
      </c>
      <c r="O13" s="35">
        <f>139+186</f>
        <v>325</v>
      </c>
      <c r="P13" s="33">
        <f t="shared" si="0"/>
        <v>47791.5</v>
      </c>
      <c r="Q13" s="33">
        <f t="shared" si="0"/>
        <v>31405.999999999996</v>
      </c>
      <c r="R13" s="33">
        <f t="shared" si="0"/>
        <v>19792.5</v>
      </c>
      <c r="S13" s="33">
        <f t="shared" si="1"/>
        <v>1188</v>
      </c>
      <c r="T13" s="33">
        <f t="shared" si="2"/>
        <v>98990</v>
      </c>
      <c r="U13" s="34">
        <f t="shared" ref="U13:U32" si="4">T13/S13</f>
        <v>83.32491582491582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99.8</v>
      </c>
      <c r="F14" s="18">
        <v>72.099999999999994</v>
      </c>
      <c r="G14" s="18">
        <v>62.4</v>
      </c>
      <c r="I14" s="18">
        <f t="shared" si="3"/>
        <v>77.819254658385091</v>
      </c>
      <c r="J14" s="42">
        <f>(I14/'Urban 09-10'!I14)-1</f>
        <v>1.6228665700706024E-2</v>
      </c>
      <c r="K14" s="16"/>
      <c r="M14" s="35">
        <f>110+37</f>
        <v>147</v>
      </c>
      <c r="N14" s="35">
        <f>129+72</f>
        <v>201</v>
      </c>
      <c r="O14" s="35">
        <f>60+75</f>
        <v>135</v>
      </c>
      <c r="P14" s="33">
        <f t="shared" si="0"/>
        <v>14670.6</v>
      </c>
      <c r="Q14" s="33">
        <f t="shared" si="0"/>
        <v>14492.099999999999</v>
      </c>
      <c r="R14" s="33">
        <f t="shared" si="0"/>
        <v>8424</v>
      </c>
      <c r="S14" s="33">
        <f t="shared" si="1"/>
        <v>483</v>
      </c>
      <c r="T14" s="33">
        <f t="shared" si="2"/>
        <v>37586.699999999997</v>
      </c>
      <c r="U14" s="34">
        <f t="shared" si="4"/>
        <v>77.819254658385091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121</v>
      </c>
      <c r="F15" s="18">
        <v>91.3</v>
      </c>
      <c r="G15" s="18">
        <v>76.8</v>
      </c>
      <c r="I15" s="18">
        <f t="shared" si="3"/>
        <v>100.7633270321361</v>
      </c>
      <c r="J15" s="42">
        <f>(I15/'Urban 09-10'!I15)-1</f>
        <v>3.5329345337920426E-2</v>
      </c>
      <c r="K15" s="16"/>
      <c r="M15" s="35">
        <f>169+64</f>
        <v>233</v>
      </c>
      <c r="N15" s="35">
        <f>93+71</f>
        <v>164</v>
      </c>
      <c r="O15" s="35">
        <f>70+62</f>
        <v>132</v>
      </c>
      <c r="P15" s="33">
        <f t="shared" si="0"/>
        <v>28193</v>
      </c>
      <c r="Q15" s="33">
        <f t="shared" si="0"/>
        <v>14973.199999999999</v>
      </c>
      <c r="R15" s="33">
        <f t="shared" si="0"/>
        <v>10137.6</v>
      </c>
      <c r="S15" s="33">
        <f t="shared" si="1"/>
        <v>529</v>
      </c>
      <c r="T15" s="33">
        <f t="shared" si="2"/>
        <v>53303.799999999996</v>
      </c>
      <c r="U15" s="34">
        <f t="shared" si="4"/>
        <v>100.7633270321361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116.3</v>
      </c>
      <c r="F16" s="18">
        <v>82</v>
      </c>
      <c r="G16" s="18">
        <v>73.5</v>
      </c>
      <c r="I16" s="18">
        <f t="shared" si="3"/>
        <v>89.95526695526695</v>
      </c>
      <c r="J16" s="42">
        <f>(I16/'Urban 09-10'!I16)-1</f>
        <v>4.2535161742722316E-2</v>
      </c>
      <c r="K16" s="16"/>
      <c r="M16" s="35">
        <f>170+45</f>
        <v>215</v>
      </c>
      <c r="N16" s="35">
        <f>167+92</f>
        <v>259</v>
      </c>
      <c r="O16" s="35">
        <f>113+106</f>
        <v>219</v>
      </c>
      <c r="P16" s="33">
        <f t="shared" si="0"/>
        <v>25004.5</v>
      </c>
      <c r="Q16" s="33">
        <f t="shared" si="0"/>
        <v>21238</v>
      </c>
      <c r="R16" s="33">
        <f t="shared" si="0"/>
        <v>16096.5</v>
      </c>
      <c r="S16" s="33">
        <f t="shared" si="1"/>
        <v>693</v>
      </c>
      <c r="T16" s="33">
        <f t="shared" si="2"/>
        <v>62339</v>
      </c>
      <c r="U16" s="34">
        <f t="shared" si="4"/>
        <v>89.95526695526695</v>
      </c>
    </row>
    <row r="17" spans="1:21" ht="13.5" customHeight="1" x14ac:dyDescent="0.2">
      <c r="A17" s="17"/>
      <c r="C17" s="29">
        <v>6</v>
      </c>
      <c r="D17" s="1" t="s">
        <v>27</v>
      </c>
      <c r="E17" s="18">
        <v>121.5</v>
      </c>
      <c r="F17" s="18">
        <v>78.599999999999994</v>
      </c>
      <c r="G17" s="18">
        <v>67.8</v>
      </c>
      <c r="I17" s="18">
        <f t="shared" si="3"/>
        <v>85.807205240174667</v>
      </c>
      <c r="J17" s="42">
        <f>(I17/'Urban 09-10'!I17)-1</f>
        <v>-6.6805553652945493E-3</v>
      </c>
      <c r="K17" s="16"/>
      <c r="M17" s="35">
        <f>181+61</f>
        <v>242</v>
      </c>
      <c r="N17" s="35">
        <f>168+156</f>
        <v>324</v>
      </c>
      <c r="O17" s="35">
        <f>154+196</f>
        <v>350</v>
      </c>
      <c r="P17" s="33">
        <f t="shared" si="0"/>
        <v>29403</v>
      </c>
      <c r="Q17" s="33">
        <f t="shared" si="0"/>
        <v>25466.399999999998</v>
      </c>
      <c r="R17" s="33">
        <f t="shared" si="0"/>
        <v>23730</v>
      </c>
      <c r="S17" s="33">
        <f t="shared" si="1"/>
        <v>916</v>
      </c>
      <c r="T17" s="33">
        <f t="shared" si="2"/>
        <v>78599.399999999994</v>
      </c>
      <c r="U17" s="34">
        <f t="shared" si="4"/>
        <v>85.807205240174667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127.8</v>
      </c>
      <c r="F18" s="18">
        <v>82.3</v>
      </c>
      <c r="G18" s="18">
        <v>80.599999999999994</v>
      </c>
      <c r="I18" s="18">
        <f t="shared" si="3"/>
        <v>102.30278706800446</v>
      </c>
      <c r="J18" s="42">
        <f>(I18/'Urban 09-10'!I18)-1</f>
        <v>4.7823210245781844E-2</v>
      </c>
      <c r="K18" s="16"/>
      <c r="M18" s="35">
        <f>338+64</f>
        <v>402</v>
      </c>
      <c r="N18" s="35">
        <f>188+102</f>
        <v>290</v>
      </c>
      <c r="O18" s="35">
        <f>112+93</f>
        <v>205</v>
      </c>
      <c r="P18" s="33">
        <f t="shared" si="0"/>
        <v>51375.6</v>
      </c>
      <c r="Q18" s="33">
        <f t="shared" si="0"/>
        <v>23867</v>
      </c>
      <c r="R18" s="33">
        <f t="shared" si="0"/>
        <v>16523</v>
      </c>
      <c r="S18" s="33">
        <f t="shared" si="1"/>
        <v>897</v>
      </c>
      <c r="T18" s="33">
        <f t="shared" si="2"/>
        <v>91765.6</v>
      </c>
      <c r="U18" s="34">
        <f t="shared" si="4"/>
        <v>102.30278706800446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125.7</v>
      </c>
      <c r="F19" s="18">
        <v>87.9</v>
      </c>
      <c r="G19" s="18">
        <v>75.099999999999994</v>
      </c>
      <c r="I19" s="18">
        <f t="shared" si="3"/>
        <v>97.163168940188882</v>
      </c>
      <c r="J19" s="42">
        <f>(I19/'Urban 09-10'!I19)-1</f>
        <v>2.2834799463006927E-2</v>
      </c>
      <c r="K19" s="16"/>
      <c r="M19" s="35">
        <f>240+87</f>
        <v>327</v>
      </c>
      <c r="N19" s="35">
        <f>201+149</f>
        <v>350</v>
      </c>
      <c r="O19" s="35">
        <f>124+152</f>
        <v>276</v>
      </c>
      <c r="P19" s="33">
        <f t="shared" si="0"/>
        <v>41103.9</v>
      </c>
      <c r="Q19" s="33">
        <f t="shared" si="0"/>
        <v>30765.000000000004</v>
      </c>
      <c r="R19" s="33">
        <f t="shared" si="0"/>
        <v>20727.599999999999</v>
      </c>
      <c r="S19" s="33">
        <f t="shared" si="1"/>
        <v>953</v>
      </c>
      <c r="T19" s="33">
        <f t="shared" si="2"/>
        <v>92596.5</v>
      </c>
      <c r="U19" s="34">
        <f t="shared" si="4"/>
        <v>97.163168940188882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100.7</v>
      </c>
      <c r="F20" s="18">
        <v>74.400000000000006</v>
      </c>
      <c r="G20" s="18">
        <v>62.1</v>
      </c>
      <c r="I20" s="18">
        <f t="shared" si="3"/>
        <v>77.424648786717754</v>
      </c>
      <c r="J20" s="42">
        <f>(I20/'Urban 09-10'!I20)-1</f>
        <v>8.2196371131182389E-4</v>
      </c>
      <c r="K20" s="16"/>
      <c r="M20" s="35">
        <f>155+66</f>
        <v>221</v>
      </c>
      <c r="N20" s="35">
        <f>144+138</f>
        <v>282</v>
      </c>
      <c r="O20" s="35">
        <f>133+147</f>
        <v>280</v>
      </c>
      <c r="P20" s="33">
        <f t="shared" si="0"/>
        <v>22254.7</v>
      </c>
      <c r="Q20" s="33">
        <f t="shared" si="0"/>
        <v>20980.800000000003</v>
      </c>
      <c r="R20" s="33">
        <f t="shared" si="0"/>
        <v>17388</v>
      </c>
      <c r="S20" s="33">
        <f t="shared" si="1"/>
        <v>783</v>
      </c>
      <c r="T20" s="33">
        <f t="shared" si="2"/>
        <v>60623.5</v>
      </c>
      <c r="U20" s="34">
        <f t="shared" si="4"/>
        <v>77.424648786717754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114.1</v>
      </c>
      <c r="F21" s="18">
        <v>85.4</v>
      </c>
      <c r="G21" s="18">
        <v>72.5</v>
      </c>
      <c r="I21" s="18">
        <f t="shared" si="3"/>
        <v>89.642716049382727</v>
      </c>
      <c r="J21" s="42">
        <f>(I21/'Urban 09-10'!I21)-1</f>
        <v>-1.2708551402357271E-3</v>
      </c>
      <c r="K21" s="16"/>
      <c r="M21" s="35">
        <f>78+43</f>
        <v>121</v>
      </c>
      <c r="N21" s="35">
        <f>78+70</f>
        <v>148</v>
      </c>
      <c r="O21" s="35">
        <f>57+79</f>
        <v>136</v>
      </c>
      <c r="P21" s="33">
        <f t="shared" si="0"/>
        <v>13806.099999999999</v>
      </c>
      <c r="Q21" s="33">
        <f t="shared" si="0"/>
        <v>12639.2</v>
      </c>
      <c r="R21" s="33">
        <f t="shared" si="0"/>
        <v>9860</v>
      </c>
      <c r="S21" s="33">
        <f t="shared" si="1"/>
        <v>405</v>
      </c>
      <c r="T21" s="33">
        <f t="shared" si="2"/>
        <v>36305.300000000003</v>
      </c>
      <c r="U21" s="34">
        <f t="shared" si="4"/>
        <v>89.642716049382727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99.6</v>
      </c>
      <c r="F22" s="18">
        <v>69.400000000000006</v>
      </c>
      <c r="G22" s="18">
        <v>59.6</v>
      </c>
      <c r="I22" s="18">
        <f t="shared" si="3"/>
        <v>76.112912087912093</v>
      </c>
      <c r="J22" s="42">
        <f>(I22/'Urban 09-10'!I22)-1</f>
        <v>-2.5524254365508758E-3</v>
      </c>
      <c r="K22" s="16"/>
      <c r="M22" s="35">
        <f>195+46</f>
        <v>241</v>
      </c>
      <c r="N22" s="35">
        <f>145+98</f>
        <v>243</v>
      </c>
      <c r="O22" s="35">
        <f>103+141</f>
        <v>244</v>
      </c>
      <c r="P22" s="33">
        <f t="shared" si="0"/>
        <v>24003.599999999999</v>
      </c>
      <c r="Q22" s="33">
        <f t="shared" si="0"/>
        <v>16864.2</v>
      </c>
      <c r="R22" s="33">
        <f t="shared" si="0"/>
        <v>14542.4</v>
      </c>
      <c r="S22" s="33">
        <f t="shared" si="1"/>
        <v>728</v>
      </c>
      <c r="T22" s="33">
        <f t="shared" si="2"/>
        <v>55410.200000000004</v>
      </c>
      <c r="U22" s="34">
        <f t="shared" si="4"/>
        <v>76.112912087912093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105.1</v>
      </c>
      <c r="F23" s="23">
        <v>75.3</v>
      </c>
      <c r="G23" s="23">
        <v>63</v>
      </c>
      <c r="H23" s="22"/>
      <c r="I23" s="23">
        <f t="shared" si="3"/>
        <v>79.380892857142868</v>
      </c>
      <c r="J23" s="44">
        <f>(I23/'Urban 09-10'!I23)-1</f>
        <v>2.0752413484520726E-2</v>
      </c>
      <c r="K23" s="16"/>
      <c r="M23" s="35">
        <f>112+46</f>
        <v>158</v>
      </c>
      <c r="N23" s="35">
        <f>118+87</f>
        <v>205</v>
      </c>
      <c r="O23" s="35">
        <f>103+94</f>
        <v>197</v>
      </c>
      <c r="P23" s="33">
        <f t="shared" si="0"/>
        <v>16605.8</v>
      </c>
      <c r="Q23" s="33">
        <f t="shared" si="0"/>
        <v>15436.5</v>
      </c>
      <c r="R23" s="33">
        <f t="shared" si="0"/>
        <v>12411</v>
      </c>
      <c r="S23" s="33">
        <f t="shared" si="1"/>
        <v>560</v>
      </c>
      <c r="T23" s="33">
        <f t="shared" si="2"/>
        <v>44453.3</v>
      </c>
      <c r="U23" s="34">
        <f t="shared" si="4"/>
        <v>79.380892857142868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93.6</v>
      </c>
      <c r="F24" s="23">
        <v>68.599999999999994</v>
      </c>
      <c r="G24" s="23">
        <v>58.8</v>
      </c>
      <c r="H24" s="22"/>
      <c r="I24" s="23">
        <f t="shared" si="3"/>
        <v>72.919721577726207</v>
      </c>
      <c r="J24" s="44">
        <f>(I24/'Urban 09-10'!I24)-1</f>
        <v>6.3554948317368076E-3</v>
      </c>
      <c r="K24" s="16"/>
      <c r="M24" s="35">
        <f>89+38</f>
        <v>127</v>
      </c>
      <c r="N24" s="35">
        <f>85+85</f>
        <v>170</v>
      </c>
      <c r="O24" s="35">
        <f>47+87</f>
        <v>134</v>
      </c>
      <c r="P24" s="33">
        <f t="shared" si="0"/>
        <v>11887.199999999999</v>
      </c>
      <c r="Q24" s="33">
        <f t="shared" si="0"/>
        <v>11661.999999999998</v>
      </c>
      <c r="R24" s="33">
        <f t="shared" si="0"/>
        <v>7879.2</v>
      </c>
      <c r="S24" s="33">
        <f t="shared" si="1"/>
        <v>431</v>
      </c>
      <c r="T24" s="33">
        <f t="shared" si="2"/>
        <v>31428.399999999998</v>
      </c>
      <c r="U24" s="34">
        <f t="shared" si="4"/>
        <v>72.919721577726207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87.6</v>
      </c>
      <c r="F25" s="18">
        <v>66.3</v>
      </c>
      <c r="G25" s="18">
        <v>61.1</v>
      </c>
      <c r="I25" s="18">
        <f t="shared" si="3"/>
        <v>74.380983606557379</v>
      </c>
      <c r="J25" s="42">
        <f>(I25/'Urban 09-10'!I25)-1</f>
        <v>2.7229640449393244E-3</v>
      </c>
      <c r="K25" s="16"/>
      <c r="M25" s="35">
        <f>100+35</f>
        <v>135</v>
      </c>
      <c r="N25" s="35">
        <f>58+33</f>
        <v>91</v>
      </c>
      <c r="O25" s="35">
        <f>51+28</f>
        <v>79</v>
      </c>
      <c r="P25" s="33">
        <f t="shared" si="0"/>
        <v>11826</v>
      </c>
      <c r="Q25" s="33">
        <f t="shared" si="0"/>
        <v>6033.3</v>
      </c>
      <c r="R25" s="33">
        <f t="shared" si="0"/>
        <v>4826.9000000000005</v>
      </c>
      <c r="S25" s="33">
        <f t="shared" si="1"/>
        <v>305</v>
      </c>
      <c r="T25" s="33">
        <f t="shared" si="2"/>
        <v>22686.2</v>
      </c>
      <c r="U25" s="34">
        <f t="shared" si="4"/>
        <v>74.380983606557379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132.80000000000001</v>
      </c>
      <c r="F26" s="18">
        <v>88.4</v>
      </c>
      <c r="G26" s="18">
        <v>72.2</v>
      </c>
      <c r="I26" s="18">
        <f t="shared" si="3"/>
        <v>98.450944716585042</v>
      </c>
      <c r="J26" s="42">
        <f>(I26/'Urban 09-10'!I26)-1</f>
        <v>3.6314917988168327E-2</v>
      </c>
      <c r="K26" s="16"/>
      <c r="M26" s="35">
        <f>381+122</f>
        <v>503</v>
      </c>
      <c r="N26" s="35">
        <f>286+148</f>
        <v>434</v>
      </c>
      <c r="O26" s="35">
        <f>239+253</f>
        <v>492</v>
      </c>
      <c r="P26" s="33">
        <f t="shared" si="0"/>
        <v>66798.400000000009</v>
      </c>
      <c r="Q26" s="33">
        <f t="shared" si="0"/>
        <v>38365.600000000006</v>
      </c>
      <c r="R26" s="33">
        <f t="shared" si="0"/>
        <v>35522.400000000001</v>
      </c>
      <c r="S26" s="33">
        <f t="shared" si="1"/>
        <v>1429</v>
      </c>
      <c r="T26" s="33">
        <f t="shared" si="2"/>
        <v>140686.40000000002</v>
      </c>
      <c r="U26" s="34">
        <f t="shared" si="4"/>
        <v>98.450944716585042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91.8</v>
      </c>
      <c r="F27" s="18">
        <v>73.099999999999994</v>
      </c>
      <c r="G27" s="18">
        <v>58.4</v>
      </c>
      <c r="I27" s="18">
        <f t="shared" si="3"/>
        <v>75.461431064572409</v>
      </c>
      <c r="J27" s="42">
        <f>(I27/'Urban 09-10'!I27)-1</f>
        <v>-1.3803697413358407E-2</v>
      </c>
      <c r="K27" s="16"/>
      <c r="M27" s="35">
        <f>154+63</f>
        <v>217</v>
      </c>
      <c r="N27" s="35">
        <f>98+74</f>
        <v>172</v>
      </c>
      <c r="O27" s="35">
        <f>86+98</f>
        <v>184</v>
      </c>
      <c r="P27" s="33">
        <f t="shared" si="0"/>
        <v>19920.599999999999</v>
      </c>
      <c r="Q27" s="33">
        <f t="shared" si="0"/>
        <v>12573.199999999999</v>
      </c>
      <c r="R27" s="33">
        <f t="shared" si="0"/>
        <v>10745.6</v>
      </c>
      <c r="S27" s="33">
        <f t="shared" si="1"/>
        <v>573</v>
      </c>
      <c r="T27" s="33">
        <f t="shared" si="2"/>
        <v>43239.399999999994</v>
      </c>
      <c r="U27" s="34">
        <f t="shared" si="4"/>
        <v>75.461431064572409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130.4</v>
      </c>
      <c r="F28" s="18">
        <v>82.2</v>
      </c>
      <c r="G28" s="18">
        <v>67.8</v>
      </c>
      <c r="I28" s="18">
        <f t="shared" si="3"/>
        <v>91.30182083029861</v>
      </c>
      <c r="J28" s="42">
        <f>(I28/'Urban 09-10'!I28)-1</f>
        <v>-1.6764633929296613E-2</v>
      </c>
      <c r="K28" s="16"/>
      <c r="M28" s="35">
        <f>322+98</f>
        <v>420</v>
      </c>
      <c r="N28" s="35">
        <f>230+185</f>
        <v>415</v>
      </c>
      <c r="O28" s="35">
        <f>311+227</f>
        <v>538</v>
      </c>
      <c r="P28" s="33">
        <f t="shared" si="0"/>
        <v>54768</v>
      </c>
      <c r="Q28" s="33">
        <f t="shared" si="0"/>
        <v>34113</v>
      </c>
      <c r="R28" s="33">
        <f t="shared" si="0"/>
        <v>36476.400000000001</v>
      </c>
      <c r="S28" s="33">
        <f t="shared" si="1"/>
        <v>1373</v>
      </c>
      <c r="T28" s="33">
        <f t="shared" si="2"/>
        <v>125357.4</v>
      </c>
      <c r="U28" s="34">
        <f t="shared" si="4"/>
        <v>91.30182083029861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105.8</v>
      </c>
      <c r="F29" s="18">
        <v>82.9</v>
      </c>
      <c r="G29" s="18">
        <v>67.400000000000006</v>
      </c>
      <c r="I29" s="18">
        <f t="shared" si="3"/>
        <v>86.637562604340573</v>
      </c>
      <c r="J29" s="42">
        <f>(I29/'Urban 09-10'!I29)-1</f>
        <v>2.33393423408359E-2</v>
      </c>
      <c r="K29" s="16"/>
      <c r="M29" s="35">
        <f>147+55</f>
        <v>202</v>
      </c>
      <c r="N29" s="35">
        <f>158+85</f>
        <v>243</v>
      </c>
      <c r="O29" s="35">
        <f>88+66</f>
        <v>154</v>
      </c>
      <c r="P29" s="33">
        <f t="shared" si="0"/>
        <v>21371.599999999999</v>
      </c>
      <c r="Q29" s="33">
        <f t="shared" si="0"/>
        <v>20144.7</v>
      </c>
      <c r="R29" s="33">
        <f t="shared" si="0"/>
        <v>10379.6</v>
      </c>
      <c r="S29" s="33">
        <f t="shared" si="1"/>
        <v>599</v>
      </c>
      <c r="T29" s="33">
        <f t="shared" si="2"/>
        <v>51895.9</v>
      </c>
      <c r="U29" s="34">
        <f t="shared" si="4"/>
        <v>86.637562604340573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115.7</v>
      </c>
      <c r="F30" s="18">
        <v>79.5</v>
      </c>
      <c r="G30" s="18">
        <v>66.400000000000006</v>
      </c>
      <c r="I30" s="18">
        <f t="shared" si="3"/>
        <v>83.681123792800705</v>
      </c>
      <c r="J30" s="42">
        <f>(I30/'Urban 09-10'!I30)-1</f>
        <v>2.6112445129313766E-3</v>
      </c>
      <c r="K30" s="16"/>
      <c r="M30" s="35">
        <f>217+85</f>
        <v>302</v>
      </c>
      <c r="N30" s="35">
        <f>217+149</f>
        <v>366</v>
      </c>
      <c r="O30" s="35">
        <f>234+237</f>
        <v>471</v>
      </c>
      <c r="P30" s="33">
        <f t="shared" si="0"/>
        <v>34941.4</v>
      </c>
      <c r="Q30" s="33">
        <f t="shared" si="0"/>
        <v>29097</v>
      </c>
      <c r="R30" s="33">
        <f t="shared" si="0"/>
        <v>31274.400000000001</v>
      </c>
      <c r="S30" s="33">
        <f t="shared" si="1"/>
        <v>1139</v>
      </c>
      <c r="T30" s="33">
        <f t="shared" si="2"/>
        <v>95312.8</v>
      </c>
      <c r="U30" s="34">
        <f t="shared" si="4"/>
        <v>83.681123792800705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112.7</v>
      </c>
      <c r="F31" s="18">
        <v>85.5</v>
      </c>
      <c r="G31" s="18">
        <v>72.599999999999994</v>
      </c>
      <c r="I31" s="18">
        <f t="shared" si="3"/>
        <v>90.083976608187143</v>
      </c>
      <c r="J31" s="42">
        <f>(I31/'Urban 09-10'!I31)-1</f>
        <v>1.3719692523146421E-2</v>
      </c>
      <c r="K31" s="16"/>
      <c r="M31" s="35">
        <f>226+58</f>
        <v>284</v>
      </c>
      <c r="N31" s="35">
        <f>168+108</f>
        <v>276</v>
      </c>
      <c r="O31" s="35">
        <f>142+153</f>
        <v>295</v>
      </c>
      <c r="P31" s="33">
        <f t="shared" si="0"/>
        <v>32006.799999999999</v>
      </c>
      <c r="Q31" s="33">
        <f t="shared" si="0"/>
        <v>23598</v>
      </c>
      <c r="R31" s="33">
        <f t="shared" si="0"/>
        <v>21417</v>
      </c>
      <c r="S31" s="33">
        <f t="shared" si="1"/>
        <v>855</v>
      </c>
      <c r="T31" s="33">
        <f t="shared" si="2"/>
        <v>77021.8</v>
      </c>
      <c r="U31" s="34">
        <f t="shared" si="4"/>
        <v>90.083976608187143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94.6</v>
      </c>
      <c r="F32" s="18">
        <v>71.5</v>
      </c>
      <c r="G32" s="18">
        <v>66.5</v>
      </c>
      <c r="I32" s="18">
        <f t="shared" si="3"/>
        <v>76.439904420549581</v>
      </c>
      <c r="J32" s="42">
        <f>(I32/'Urban 09-10'!I32)-1</f>
        <v>9.2611315247004278E-3</v>
      </c>
      <c r="K32" s="16"/>
      <c r="M32" s="35">
        <f>164+73</f>
        <v>237</v>
      </c>
      <c r="N32" s="35">
        <f>199+133</f>
        <v>332</v>
      </c>
      <c r="O32" s="35">
        <f>127+141</f>
        <v>268</v>
      </c>
      <c r="P32" s="33">
        <f t="shared" si="0"/>
        <v>22420.199999999997</v>
      </c>
      <c r="Q32" s="33">
        <f t="shared" si="0"/>
        <v>23738</v>
      </c>
      <c r="R32" s="33">
        <f t="shared" si="0"/>
        <v>17822</v>
      </c>
      <c r="S32" s="33">
        <f t="shared" si="1"/>
        <v>837</v>
      </c>
      <c r="T32" s="33">
        <f t="shared" si="2"/>
        <v>63980.2</v>
      </c>
      <c r="U32" s="34">
        <f t="shared" si="4"/>
        <v>76.439904420549581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113.85405304445274</v>
      </c>
      <c r="F34" s="38">
        <f>Q34/N34</f>
        <v>79.549766606822274</v>
      </c>
      <c r="G34" s="38">
        <f t="shared" ref="G34" si="5">R34/O34</f>
        <v>67.604364930685662</v>
      </c>
      <c r="H34" s="36"/>
      <c r="I34" s="38">
        <f t="shared" ref="I34" si="6">U34</f>
        <v>86.922820071331941</v>
      </c>
      <c r="J34" s="43">
        <f>(I34/'Urban 09-10'!I34)-1</f>
        <v>1.3948254527327286E-2</v>
      </c>
      <c r="K34" s="16"/>
      <c r="M34" s="37">
        <f t="shared" ref="M34:R34" si="7">SUM(M12:M32)</f>
        <v>5354</v>
      </c>
      <c r="N34" s="37">
        <f t="shared" si="7"/>
        <v>5570</v>
      </c>
      <c r="O34" s="37">
        <f t="shared" si="7"/>
        <v>5338</v>
      </c>
      <c r="P34" s="37">
        <f t="shared" si="7"/>
        <v>609574.6</v>
      </c>
      <c r="Q34" s="37">
        <f t="shared" si="7"/>
        <v>443092.20000000007</v>
      </c>
      <c r="R34" s="37">
        <f t="shared" si="7"/>
        <v>360872.10000000003</v>
      </c>
      <c r="S34" s="33">
        <f>M34+N34+O34</f>
        <v>16262</v>
      </c>
      <c r="T34" s="33">
        <f>P34+Q34+R34</f>
        <v>1413538.9000000001</v>
      </c>
      <c r="U34" s="34">
        <f>T34/S34</f>
        <v>86.922820071331941</v>
      </c>
    </row>
    <row r="35" spans="1:21" ht="13.5" customHeight="1" x14ac:dyDescent="0.2">
      <c r="A35" s="17"/>
      <c r="D35" s="41" t="s">
        <v>44</v>
      </c>
      <c r="E35" s="38">
        <f>MEDIAN(E12:E32)</f>
        <v>112.7</v>
      </c>
      <c r="F35" s="38">
        <f>MEDIAN(F12:F32)</f>
        <v>79.5</v>
      </c>
      <c r="G35" s="38">
        <f>MEDIAN(G12:G32)</f>
        <v>66.5</v>
      </c>
      <c r="H35" s="36"/>
      <c r="I35" s="38">
        <f>MEDIAN(I12:I32)</f>
        <v>85.251023890784978</v>
      </c>
      <c r="J35" s="43">
        <f>(I35/'Urban 09-10'!I35)-1</f>
        <v>2.1420737259447487E-2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19</v>
      </c>
      <c r="K38" s="16"/>
    </row>
    <row r="39" spans="1:21" ht="13.5" customHeight="1" x14ac:dyDescent="0.2">
      <c r="A39" s="17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50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52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111.2</v>
      </c>
      <c r="F12" s="18">
        <v>76.5</v>
      </c>
      <c r="G12" s="18">
        <v>63.9</v>
      </c>
      <c r="I12" s="18">
        <f>U12</f>
        <v>83.437878787878788</v>
      </c>
      <c r="J12" s="42">
        <f>(I12/'Urban 08-09'!I12)-1</f>
        <v>1.8946773927064342E-2</v>
      </c>
      <c r="K12" s="16"/>
      <c r="M12" s="35">
        <f>69+23</f>
        <v>92</v>
      </c>
      <c r="N12" s="35">
        <f>37+27</f>
        <v>64</v>
      </c>
      <c r="O12" s="35">
        <f>45+63</f>
        <v>108</v>
      </c>
      <c r="P12" s="33">
        <f t="shared" ref="P12:R32" si="0">E12*M12</f>
        <v>10230.4</v>
      </c>
      <c r="Q12" s="33">
        <f t="shared" si="0"/>
        <v>4896</v>
      </c>
      <c r="R12" s="33">
        <f t="shared" si="0"/>
        <v>6901.2</v>
      </c>
      <c r="S12" s="33">
        <f t="shared" ref="S12:S32" si="1">M12+N12+O12</f>
        <v>264</v>
      </c>
      <c r="T12" s="33">
        <f t="shared" ref="T12:T32" si="2">P12+Q12+R12</f>
        <v>22027.599999999999</v>
      </c>
      <c r="U12" s="34">
        <f>T12/S12</f>
        <v>83.437878787878788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102.3</v>
      </c>
      <c r="F13" s="18">
        <v>74.099999999999994</v>
      </c>
      <c r="G13" s="18">
        <v>60.5</v>
      </c>
      <c r="I13" s="18">
        <f t="shared" ref="I13:I32" si="3">U13</f>
        <v>81.722203389830511</v>
      </c>
      <c r="J13" s="42">
        <f>(I13/'Urban 08-09'!I13)-1</f>
        <v>2.3848136190776081E-2</v>
      </c>
      <c r="K13" s="16"/>
      <c r="M13" s="35">
        <f>341+126</f>
        <v>467</v>
      </c>
      <c r="N13" s="35">
        <f>222+184</f>
        <v>406</v>
      </c>
      <c r="O13" s="35">
        <f>131+176</f>
        <v>307</v>
      </c>
      <c r="P13" s="33">
        <f t="shared" si="0"/>
        <v>47774.1</v>
      </c>
      <c r="Q13" s="33">
        <f t="shared" si="0"/>
        <v>30084.6</v>
      </c>
      <c r="R13" s="33">
        <f t="shared" si="0"/>
        <v>18573.5</v>
      </c>
      <c r="S13" s="33">
        <f t="shared" si="1"/>
        <v>1180</v>
      </c>
      <c r="T13" s="33">
        <f t="shared" si="2"/>
        <v>96432.2</v>
      </c>
      <c r="U13" s="34">
        <f t="shared" ref="U13:U32" si="4">T13/S13</f>
        <v>81.722203389830511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98.9</v>
      </c>
      <c r="F14" s="18">
        <v>71.2</v>
      </c>
      <c r="G14" s="18">
        <v>60.4</v>
      </c>
      <c r="I14" s="18">
        <f t="shared" si="3"/>
        <v>76.576519916142558</v>
      </c>
      <c r="J14" s="42">
        <f>(I14/'Urban 08-09'!I14)-1</f>
        <v>4.8449920801618696E-4</v>
      </c>
      <c r="K14" s="16"/>
      <c r="M14" s="35">
        <f>111+35</f>
        <v>146</v>
      </c>
      <c r="N14" s="35">
        <f>122+72</f>
        <v>194</v>
      </c>
      <c r="O14" s="35">
        <f>68+69</f>
        <v>137</v>
      </c>
      <c r="P14" s="33">
        <f t="shared" si="0"/>
        <v>14439.400000000001</v>
      </c>
      <c r="Q14" s="33">
        <f t="shared" si="0"/>
        <v>13812.800000000001</v>
      </c>
      <c r="R14" s="33">
        <f t="shared" si="0"/>
        <v>8274.7999999999993</v>
      </c>
      <c r="S14" s="33">
        <f t="shared" si="1"/>
        <v>477</v>
      </c>
      <c r="T14" s="33">
        <f t="shared" si="2"/>
        <v>36527</v>
      </c>
      <c r="U14" s="34">
        <f t="shared" si="4"/>
        <v>76.576519916142558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114</v>
      </c>
      <c r="F15" s="18">
        <v>90.8</v>
      </c>
      <c r="G15" s="18">
        <v>75.900000000000006</v>
      </c>
      <c r="I15" s="18">
        <f t="shared" si="3"/>
        <v>97.324901960784317</v>
      </c>
      <c r="J15" s="42">
        <f>(I15/'Urban 08-09'!I15)-1</f>
        <v>2.21955458620271E-2</v>
      </c>
      <c r="K15" s="16"/>
      <c r="M15" s="35">
        <f>159+66</f>
        <v>225</v>
      </c>
      <c r="N15" s="35">
        <f>91+67</f>
        <v>158</v>
      </c>
      <c r="O15" s="35">
        <f>68+59</f>
        <v>127</v>
      </c>
      <c r="P15" s="33">
        <f t="shared" si="0"/>
        <v>25650</v>
      </c>
      <c r="Q15" s="33">
        <f t="shared" si="0"/>
        <v>14346.4</v>
      </c>
      <c r="R15" s="33">
        <f t="shared" si="0"/>
        <v>9639.3000000000011</v>
      </c>
      <c r="S15" s="33">
        <f t="shared" si="1"/>
        <v>510</v>
      </c>
      <c r="T15" s="33">
        <f t="shared" si="2"/>
        <v>49635.700000000004</v>
      </c>
      <c r="U15" s="34">
        <f t="shared" si="4"/>
        <v>97.324901960784317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111</v>
      </c>
      <c r="F16" s="18">
        <v>78.3</v>
      </c>
      <c r="G16" s="18">
        <v>72.7</v>
      </c>
      <c r="I16" s="18">
        <f t="shared" si="3"/>
        <v>86.285115606936415</v>
      </c>
      <c r="J16" s="42">
        <f>(I16/'Urban 08-09'!I16)-1</f>
        <v>2.0798484980200538E-2</v>
      </c>
      <c r="K16" s="16"/>
      <c r="M16" s="35">
        <f>166+41</f>
        <v>207</v>
      </c>
      <c r="N16" s="35">
        <f>167+96</f>
        <v>263</v>
      </c>
      <c r="O16" s="35">
        <f>118+104</f>
        <v>222</v>
      </c>
      <c r="P16" s="33">
        <f t="shared" si="0"/>
        <v>22977</v>
      </c>
      <c r="Q16" s="33">
        <f t="shared" si="0"/>
        <v>20592.899999999998</v>
      </c>
      <c r="R16" s="33">
        <f t="shared" si="0"/>
        <v>16139.400000000001</v>
      </c>
      <c r="S16" s="33">
        <f t="shared" si="1"/>
        <v>692</v>
      </c>
      <c r="T16" s="33">
        <f t="shared" si="2"/>
        <v>59709.299999999996</v>
      </c>
      <c r="U16" s="34">
        <f t="shared" si="4"/>
        <v>86.285115606936415</v>
      </c>
    </row>
    <row r="17" spans="1:21" ht="13.5" customHeight="1" x14ac:dyDescent="0.2">
      <c r="A17" s="17"/>
      <c r="C17" s="29">
        <v>6</v>
      </c>
      <c r="D17" s="1" t="s">
        <v>27</v>
      </c>
      <c r="E17" s="18">
        <v>123.4</v>
      </c>
      <c r="F17" s="18">
        <v>79</v>
      </c>
      <c r="G17" s="18">
        <v>67</v>
      </c>
      <c r="I17" s="18">
        <f t="shared" si="3"/>
        <v>86.384300341296935</v>
      </c>
      <c r="J17" s="42">
        <f>(I17/'Urban 08-09'!I17)-1</f>
        <v>3.0026864151387445E-2</v>
      </c>
      <c r="K17" s="16"/>
      <c r="M17" s="35">
        <f>183+54</f>
        <v>237</v>
      </c>
      <c r="N17" s="35">
        <f>160+146</f>
        <v>306</v>
      </c>
      <c r="O17" s="35">
        <f>145+191</f>
        <v>336</v>
      </c>
      <c r="P17" s="33">
        <f t="shared" si="0"/>
        <v>29245.800000000003</v>
      </c>
      <c r="Q17" s="33">
        <f t="shared" si="0"/>
        <v>24174</v>
      </c>
      <c r="R17" s="33">
        <f t="shared" si="0"/>
        <v>22512</v>
      </c>
      <c r="S17" s="33">
        <f t="shared" si="1"/>
        <v>879</v>
      </c>
      <c r="T17" s="33">
        <f t="shared" si="2"/>
        <v>75931.8</v>
      </c>
      <c r="U17" s="34">
        <f t="shared" si="4"/>
        <v>86.384300341296935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122.2</v>
      </c>
      <c r="F18" s="18">
        <v>79.3</v>
      </c>
      <c r="G18" s="18">
        <v>77.400000000000006</v>
      </c>
      <c r="I18" s="18">
        <f t="shared" si="3"/>
        <v>97.633633295838024</v>
      </c>
      <c r="J18" s="42">
        <f>(I18/'Urban 08-09'!I18)-1</f>
        <v>3.3695119994152645E-3</v>
      </c>
      <c r="K18" s="16"/>
      <c r="M18" s="35">
        <f>328+61</f>
        <v>389</v>
      </c>
      <c r="N18" s="35">
        <f>196+99</f>
        <v>295</v>
      </c>
      <c r="O18" s="35">
        <f>117+88</f>
        <v>205</v>
      </c>
      <c r="P18" s="33">
        <f t="shared" si="0"/>
        <v>47535.8</v>
      </c>
      <c r="Q18" s="33">
        <f t="shared" si="0"/>
        <v>23393.5</v>
      </c>
      <c r="R18" s="33">
        <f t="shared" si="0"/>
        <v>15867.000000000002</v>
      </c>
      <c r="S18" s="33">
        <f t="shared" si="1"/>
        <v>889</v>
      </c>
      <c r="T18" s="33">
        <f t="shared" si="2"/>
        <v>86796.3</v>
      </c>
      <c r="U18" s="34">
        <f t="shared" si="4"/>
        <v>97.633633295838024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121.4</v>
      </c>
      <c r="F19" s="18">
        <v>84.9</v>
      </c>
      <c r="G19" s="18">
        <v>73.599999999999994</v>
      </c>
      <c r="I19" s="18">
        <f t="shared" si="3"/>
        <v>94.994</v>
      </c>
      <c r="J19" s="42">
        <f>(I19/'Urban 08-09'!I19)-1</f>
        <v>1.7899514264334115E-2</v>
      </c>
      <c r="K19" s="16"/>
      <c r="M19" s="35">
        <f>255+91</f>
        <v>346</v>
      </c>
      <c r="N19" s="35">
        <f>197+138</f>
        <v>335</v>
      </c>
      <c r="O19" s="35">
        <f>122+147</f>
        <v>269</v>
      </c>
      <c r="P19" s="33">
        <f t="shared" si="0"/>
        <v>42004.4</v>
      </c>
      <c r="Q19" s="33">
        <f t="shared" si="0"/>
        <v>28441.500000000004</v>
      </c>
      <c r="R19" s="33">
        <f t="shared" si="0"/>
        <v>19798.399999999998</v>
      </c>
      <c r="S19" s="33">
        <f t="shared" si="1"/>
        <v>950</v>
      </c>
      <c r="T19" s="33">
        <f t="shared" si="2"/>
        <v>90244.3</v>
      </c>
      <c r="U19" s="34">
        <f t="shared" si="4"/>
        <v>94.994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99.3</v>
      </c>
      <c r="F20" s="18">
        <v>75.400000000000006</v>
      </c>
      <c r="G20" s="18">
        <v>61.4</v>
      </c>
      <c r="I20" s="18">
        <f t="shared" si="3"/>
        <v>77.361060802069858</v>
      </c>
      <c r="J20" s="42">
        <f>(I20/'Urban 08-09'!I20)-1</f>
        <v>-3.2825532472435803E-3</v>
      </c>
      <c r="K20" s="16"/>
      <c r="M20" s="35">
        <f>154+67</f>
        <v>221</v>
      </c>
      <c r="N20" s="35">
        <f>150+133</f>
        <v>283</v>
      </c>
      <c r="O20" s="35">
        <f>130+139</f>
        <v>269</v>
      </c>
      <c r="P20" s="33">
        <f t="shared" si="0"/>
        <v>21945.3</v>
      </c>
      <c r="Q20" s="33">
        <f t="shared" si="0"/>
        <v>21338.2</v>
      </c>
      <c r="R20" s="33">
        <f t="shared" si="0"/>
        <v>16516.599999999999</v>
      </c>
      <c r="S20" s="33">
        <f t="shared" si="1"/>
        <v>773</v>
      </c>
      <c r="T20" s="33">
        <f t="shared" si="2"/>
        <v>59800.1</v>
      </c>
      <c r="U20" s="34">
        <f t="shared" si="4"/>
        <v>77.361060802069858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113.3</v>
      </c>
      <c r="F21" s="18">
        <v>85.7</v>
      </c>
      <c r="G21" s="18">
        <v>72.599999999999994</v>
      </c>
      <c r="I21" s="18">
        <f t="shared" si="3"/>
        <v>89.756783919597979</v>
      </c>
      <c r="J21" s="42">
        <f>(I21/'Urban 08-09'!I21)-1</f>
        <v>-2.8565233904696008E-3</v>
      </c>
      <c r="K21" s="16"/>
      <c r="M21" s="35">
        <f>80+44</f>
        <v>124</v>
      </c>
      <c r="N21" s="35">
        <f>73+63</f>
        <v>136</v>
      </c>
      <c r="O21" s="35">
        <f>63+75</f>
        <v>138</v>
      </c>
      <c r="P21" s="33">
        <f t="shared" si="0"/>
        <v>14049.199999999999</v>
      </c>
      <c r="Q21" s="33">
        <f t="shared" si="0"/>
        <v>11655.2</v>
      </c>
      <c r="R21" s="33">
        <f t="shared" si="0"/>
        <v>10018.799999999999</v>
      </c>
      <c r="S21" s="33">
        <f t="shared" si="1"/>
        <v>398</v>
      </c>
      <c r="T21" s="33">
        <f t="shared" si="2"/>
        <v>35723.199999999997</v>
      </c>
      <c r="U21" s="34">
        <f t="shared" si="4"/>
        <v>89.756783919597979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99.6</v>
      </c>
      <c r="F22" s="18">
        <v>69.8</v>
      </c>
      <c r="G22" s="18">
        <v>59.3</v>
      </c>
      <c r="I22" s="18">
        <f t="shared" si="3"/>
        <v>76.307681755829904</v>
      </c>
      <c r="J22" s="42">
        <f>(I22/'Urban 08-09'!I22)-1</f>
        <v>-1.498000097004959E-3</v>
      </c>
      <c r="K22" s="16"/>
      <c r="M22" s="35">
        <f>195+47</f>
        <v>242</v>
      </c>
      <c r="N22" s="35">
        <f>149+103</f>
        <v>252</v>
      </c>
      <c r="O22" s="35">
        <f>107+128</f>
        <v>235</v>
      </c>
      <c r="P22" s="33">
        <f t="shared" si="0"/>
        <v>24103.199999999997</v>
      </c>
      <c r="Q22" s="33">
        <f t="shared" si="0"/>
        <v>17589.599999999999</v>
      </c>
      <c r="R22" s="33">
        <f t="shared" si="0"/>
        <v>13935.5</v>
      </c>
      <c r="S22" s="33">
        <f t="shared" si="1"/>
        <v>729</v>
      </c>
      <c r="T22" s="33">
        <f t="shared" si="2"/>
        <v>55628.299999999996</v>
      </c>
      <c r="U22" s="34">
        <f t="shared" si="4"/>
        <v>76.307681755829904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104</v>
      </c>
      <c r="F23" s="23">
        <v>75.3</v>
      </c>
      <c r="G23" s="23">
        <v>60.9</v>
      </c>
      <c r="H23" s="22"/>
      <c r="I23" s="23">
        <f t="shared" si="3"/>
        <v>77.767039106145248</v>
      </c>
      <c r="J23" s="44">
        <f>(I23/'Urban 08-09'!I23)-1</f>
        <v>-9.3663768032034023E-3</v>
      </c>
      <c r="K23" s="16"/>
      <c r="M23" s="35">
        <f>102+42</f>
        <v>144</v>
      </c>
      <c r="N23" s="35">
        <f>114+84</f>
        <v>198</v>
      </c>
      <c r="O23" s="35">
        <f>98+97</f>
        <v>195</v>
      </c>
      <c r="P23" s="33">
        <f t="shared" si="0"/>
        <v>14976</v>
      </c>
      <c r="Q23" s="33">
        <f t="shared" si="0"/>
        <v>14909.4</v>
      </c>
      <c r="R23" s="33">
        <f t="shared" si="0"/>
        <v>11875.5</v>
      </c>
      <c r="S23" s="33">
        <f t="shared" si="1"/>
        <v>537</v>
      </c>
      <c r="T23" s="33">
        <f t="shared" si="2"/>
        <v>41760.9</v>
      </c>
      <c r="U23" s="34">
        <f t="shared" si="4"/>
        <v>77.767039106145248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93.6</v>
      </c>
      <c r="F24" s="23">
        <v>68</v>
      </c>
      <c r="G24" s="23">
        <v>59</v>
      </c>
      <c r="H24" s="22"/>
      <c r="I24" s="23">
        <f t="shared" si="3"/>
        <v>72.459207459207462</v>
      </c>
      <c r="J24" s="44">
        <f>(I24/'Urban 08-09'!I24)-1</f>
        <v>-1.4337385189178486E-2</v>
      </c>
      <c r="K24" s="16"/>
      <c r="M24" s="35">
        <f>89+36</f>
        <v>125</v>
      </c>
      <c r="N24" s="35">
        <f>85+76</f>
        <v>161</v>
      </c>
      <c r="O24" s="35">
        <f>54+89</f>
        <v>143</v>
      </c>
      <c r="P24" s="33">
        <f t="shared" si="0"/>
        <v>11700</v>
      </c>
      <c r="Q24" s="33">
        <f t="shared" si="0"/>
        <v>10948</v>
      </c>
      <c r="R24" s="33">
        <f t="shared" si="0"/>
        <v>8437</v>
      </c>
      <c r="S24" s="33">
        <f t="shared" si="1"/>
        <v>429</v>
      </c>
      <c r="T24" s="33">
        <f t="shared" si="2"/>
        <v>31085</v>
      </c>
      <c r="U24" s="34">
        <f t="shared" si="4"/>
        <v>72.459207459207462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88</v>
      </c>
      <c r="F25" s="18">
        <v>66.5</v>
      </c>
      <c r="G25" s="18">
        <v>60.8</v>
      </c>
      <c r="I25" s="18">
        <f t="shared" si="3"/>
        <v>74.178996865203757</v>
      </c>
      <c r="J25" s="42">
        <f>(I25/'Urban 08-09'!I25)-1</f>
        <v>-1.4324060470314315E-3</v>
      </c>
      <c r="K25" s="16"/>
      <c r="M25" s="35">
        <f>103+34</f>
        <v>137</v>
      </c>
      <c r="N25" s="35">
        <f>63+32</f>
        <v>95</v>
      </c>
      <c r="O25" s="35">
        <f>53+34</f>
        <v>87</v>
      </c>
      <c r="P25" s="33">
        <f t="shared" si="0"/>
        <v>12056</v>
      </c>
      <c r="Q25" s="33">
        <f t="shared" si="0"/>
        <v>6317.5</v>
      </c>
      <c r="R25" s="33">
        <f t="shared" si="0"/>
        <v>5289.5999999999995</v>
      </c>
      <c r="S25" s="33">
        <f t="shared" si="1"/>
        <v>319</v>
      </c>
      <c r="T25" s="33">
        <f t="shared" si="2"/>
        <v>23663.1</v>
      </c>
      <c r="U25" s="34">
        <f t="shared" si="4"/>
        <v>74.178996865203757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128.30000000000001</v>
      </c>
      <c r="F26" s="18">
        <v>84.6</v>
      </c>
      <c r="G26" s="18">
        <v>70.099999999999994</v>
      </c>
      <c r="I26" s="18">
        <f t="shared" si="3"/>
        <v>95.000991501416422</v>
      </c>
      <c r="J26" s="42">
        <f>(I26/'Urban 08-09'!I26)-1</f>
        <v>2.5227438620010201E-3</v>
      </c>
      <c r="K26" s="16"/>
      <c r="M26" s="35">
        <f>379+117</f>
        <v>496</v>
      </c>
      <c r="N26" s="35">
        <f>290+144</f>
        <v>434</v>
      </c>
      <c r="O26" s="35">
        <f>226+256</f>
        <v>482</v>
      </c>
      <c r="P26" s="33">
        <f t="shared" si="0"/>
        <v>63636.800000000003</v>
      </c>
      <c r="Q26" s="33">
        <f t="shared" si="0"/>
        <v>36716.399999999994</v>
      </c>
      <c r="R26" s="33">
        <f t="shared" si="0"/>
        <v>33788.199999999997</v>
      </c>
      <c r="S26" s="33">
        <f t="shared" si="1"/>
        <v>1412</v>
      </c>
      <c r="T26" s="33">
        <f t="shared" si="2"/>
        <v>134141.4</v>
      </c>
      <c r="U26" s="34">
        <f t="shared" si="4"/>
        <v>95.000991501416422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93.6</v>
      </c>
      <c r="F27" s="18">
        <v>73.400000000000006</v>
      </c>
      <c r="G27" s="18">
        <v>59.3</v>
      </c>
      <c r="I27" s="18">
        <f t="shared" si="3"/>
        <v>76.517657657657665</v>
      </c>
      <c r="J27" s="42">
        <f>(I27/'Urban 08-09'!I27)-1</f>
        <v>6.0750309042247208E-2</v>
      </c>
      <c r="K27" s="16"/>
      <c r="M27" s="35">
        <f>148+64</f>
        <v>212</v>
      </c>
      <c r="N27" s="35">
        <f>98+64</f>
        <v>162</v>
      </c>
      <c r="O27" s="35">
        <f>83+98</f>
        <v>181</v>
      </c>
      <c r="P27" s="33">
        <f t="shared" si="0"/>
        <v>19843.199999999997</v>
      </c>
      <c r="Q27" s="33">
        <f t="shared" si="0"/>
        <v>11890.800000000001</v>
      </c>
      <c r="R27" s="33">
        <f t="shared" si="0"/>
        <v>10733.3</v>
      </c>
      <c r="S27" s="33">
        <f t="shared" si="1"/>
        <v>555</v>
      </c>
      <c r="T27" s="33">
        <f t="shared" si="2"/>
        <v>42467.3</v>
      </c>
      <c r="U27" s="34">
        <f t="shared" si="4"/>
        <v>76.517657657657665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127.9</v>
      </c>
      <c r="F28" s="18">
        <v>90.4</v>
      </c>
      <c r="G28" s="18">
        <v>64.8</v>
      </c>
      <c r="I28" s="18">
        <f t="shared" si="3"/>
        <v>92.858560606060621</v>
      </c>
      <c r="J28" s="42">
        <f>(I28/'Urban 08-09'!I28)-1</f>
        <v>3.5158270929321001E-2</v>
      </c>
      <c r="K28" s="16"/>
      <c r="M28" s="35">
        <f>325+94</f>
        <v>419</v>
      </c>
      <c r="N28" s="35">
        <f>234+180</f>
        <v>414</v>
      </c>
      <c r="O28" s="35">
        <f>278+209</f>
        <v>487</v>
      </c>
      <c r="P28" s="33">
        <f t="shared" si="0"/>
        <v>53590.100000000006</v>
      </c>
      <c r="Q28" s="33">
        <f t="shared" si="0"/>
        <v>37425.600000000006</v>
      </c>
      <c r="R28" s="33">
        <f t="shared" si="0"/>
        <v>31557.599999999999</v>
      </c>
      <c r="S28" s="33">
        <f t="shared" si="1"/>
        <v>1320</v>
      </c>
      <c r="T28" s="33">
        <f t="shared" si="2"/>
        <v>122573.30000000002</v>
      </c>
      <c r="U28" s="34">
        <f t="shared" si="4"/>
        <v>92.858560606060621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102.7</v>
      </c>
      <c r="F29" s="18">
        <v>80.099999999999994</v>
      </c>
      <c r="G29" s="18">
        <v>67</v>
      </c>
      <c r="I29" s="18">
        <f t="shared" si="3"/>
        <v>84.661616161616166</v>
      </c>
      <c r="J29" s="42">
        <f>(I29/'Urban 08-09'!I29)-1</f>
        <v>0.10723172083697063</v>
      </c>
      <c r="K29" s="16"/>
      <c r="M29" s="35">
        <f>157+51</f>
        <v>208</v>
      </c>
      <c r="N29" s="35">
        <f>154+80</f>
        <v>234</v>
      </c>
      <c r="O29" s="35">
        <f>83+69</f>
        <v>152</v>
      </c>
      <c r="P29" s="33">
        <f t="shared" si="0"/>
        <v>21361.600000000002</v>
      </c>
      <c r="Q29" s="33">
        <f t="shared" si="0"/>
        <v>18743.399999999998</v>
      </c>
      <c r="R29" s="33">
        <f t="shared" si="0"/>
        <v>10184</v>
      </c>
      <c r="S29" s="33">
        <f t="shared" si="1"/>
        <v>594</v>
      </c>
      <c r="T29" s="33">
        <f t="shared" si="2"/>
        <v>50289</v>
      </c>
      <c r="U29" s="34">
        <f t="shared" si="4"/>
        <v>84.661616161616166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114.2</v>
      </c>
      <c r="F30" s="18">
        <v>80.2</v>
      </c>
      <c r="G30" s="18">
        <v>65.900000000000006</v>
      </c>
      <c r="I30" s="18">
        <f t="shared" si="3"/>
        <v>83.463181019332168</v>
      </c>
      <c r="J30" s="42">
        <f>(I30/'Urban 08-09'!I30)-1</f>
        <v>1.0520406479320066E-2</v>
      </c>
      <c r="K30" s="16"/>
      <c r="M30" s="35">
        <f>223+86</f>
        <v>309</v>
      </c>
      <c r="N30" s="35">
        <f>206+148</f>
        <v>354</v>
      </c>
      <c r="O30" s="35">
        <f>238+237</f>
        <v>475</v>
      </c>
      <c r="P30" s="33">
        <f t="shared" si="0"/>
        <v>35287.800000000003</v>
      </c>
      <c r="Q30" s="33">
        <f t="shared" si="0"/>
        <v>28390.799999999999</v>
      </c>
      <c r="R30" s="33">
        <f t="shared" si="0"/>
        <v>31302.500000000004</v>
      </c>
      <c r="S30" s="33">
        <f t="shared" si="1"/>
        <v>1138</v>
      </c>
      <c r="T30" s="33">
        <f t="shared" si="2"/>
        <v>94981.1</v>
      </c>
      <c r="U30" s="34">
        <f t="shared" si="4"/>
        <v>83.463181019332168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111.2</v>
      </c>
      <c r="F31" s="18">
        <v>85.2</v>
      </c>
      <c r="G31" s="18">
        <v>69.900000000000006</v>
      </c>
      <c r="I31" s="18">
        <f t="shared" si="3"/>
        <v>88.864779161947908</v>
      </c>
      <c r="J31" s="42">
        <f>(I31/'Urban 08-09'!I31)-1</f>
        <v>6.319805543888446E-3</v>
      </c>
      <c r="K31" s="16"/>
      <c r="M31" s="35">
        <f>241+60</f>
        <v>301</v>
      </c>
      <c r="N31" s="35">
        <f>170+112</f>
        <v>282</v>
      </c>
      <c r="O31" s="35">
        <f>140+160</f>
        <v>300</v>
      </c>
      <c r="P31" s="33">
        <f t="shared" si="0"/>
        <v>33471.200000000004</v>
      </c>
      <c r="Q31" s="33">
        <f t="shared" si="0"/>
        <v>24026.400000000001</v>
      </c>
      <c r="R31" s="33">
        <f t="shared" si="0"/>
        <v>20970</v>
      </c>
      <c r="S31" s="33">
        <f t="shared" si="1"/>
        <v>883</v>
      </c>
      <c r="T31" s="33">
        <f t="shared" si="2"/>
        <v>78467.600000000006</v>
      </c>
      <c r="U31" s="34">
        <f t="shared" si="4"/>
        <v>88.864779161947908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94.2</v>
      </c>
      <c r="F32" s="18">
        <v>71.2</v>
      </c>
      <c r="G32" s="18">
        <v>65.900000000000006</v>
      </c>
      <c r="I32" s="18">
        <f t="shared" si="3"/>
        <v>75.738480392156873</v>
      </c>
      <c r="J32" s="42">
        <f>(I32/'Urban 08-09'!I32)-1</f>
        <v>1.2842206494618313E-2</v>
      </c>
      <c r="K32" s="16"/>
      <c r="M32" s="35">
        <f>156+70</f>
        <v>226</v>
      </c>
      <c r="N32" s="35">
        <f>178+130</f>
        <v>308</v>
      </c>
      <c r="O32" s="35">
        <f>136+146</f>
        <v>282</v>
      </c>
      <c r="P32" s="33">
        <f t="shared" si="0"/>
        <v>21289.200000000001</v>
      </c>
      <c r="Q32" s="33">
        <f t="shared" si="0"/>
        <v>21929.600000000002</v>
      </c>
      <c r="R32" s="33">
        <f t="shared" si="0"/>
        <v>18583.800000000003</v>
      </c>
      <c r="S32" s="33">
        <f t="shared" si="1"/>
        <v>816</v>
      </c>
      <c r="T32" s="33">
        <f t="shared" si="2"/>
        <v>61802.600000000006</v>
      </c>
      <c r="U32" s="34">
        <f t="shared" si="4"/>
        <v>75.738480392156873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111.3534041342689</v>
      </c>
      <c r="F34" s="38">
        <f>Q34/N34</f>
        <v>79.044356955380579</v>
      </c>
      <c r="G34" s="38">
        <f t="shared" ref="G34" si="5">R34/O34</f>
        <v>66.361300369865674</v>
      </c>
      <c r="H34" s="36"/>
      <c r="I34" s="38">
        <f t="shared" ref="I34" si="6">U34</f>
        <v>85.727076981707313</v>
      </c>
      <c r="J34" s="43">
        <f>(I34/'Urban 08-09'!I34)-1</f>
        <v>1.7661170272213589E-2</v>
      </c>
      <c r="K34" s="16"/>
      <c r="M34" s="37">
        <f t="shared" ref="M34:R34" si="7">SUM(M12:M32)</f>
        <v>5273</v>
      </c>
      <c r="N34" s="37">
        <f t="shared" si="7"/>
        <v>5334</v>
      </c>
      <c r="O34" s="37">
        <f t="shared" si="7"/>
        <v>5137</v>
      </c>
      <c r="P34" s="37">
        <f t="shared" si="7"/>
        <v>587166.49999999988</v>
      </c>
      <c r="Q34" s="37">
        <f t="shared" si="7"/>
        <v>421622.60000000003</v>
      </c>
      <c r="R34" s="37">
        <f t="shared" si="7"/>
        <v>340897.99999999994</v>
      </c>
      <c r="S34" s="33">
        <f>M34+N34+O34</f>
        <v>15744</v>
      </c>
      <c r="T34" s="33">
        <f>P34+Q34+R34</f>
        <v>1349687.0999999999</v>
      </c>
      <c r="U34" s="34">
        <f>T34/S34</f>
        <v>85.727076981707313</v>
      </c>
    </row>
    <row r="35" spans="1:21" ht="13.5" customHeight="1" x14ac:dyDescent="0.2">
      <c r="A35" s="17"/>
      <c r="D35" s="41" t="s">
        <v>44</v>
      </c>
      <c r="E35" s="38">
        <f>MEDIAN(E12:E32)</f>
        <v>111</v>
      </c>
      <c r="F35" s="38">
        <f>MEDIAN(F12:F32)</f>
        <v>78.3</v>
      </c>
      <c r="G35" s="38">
        <f>MEDIAN(G12:G32)</f>
        <v>65.900000000000006</v>
      </c>
      <c r="H35" s="36"/>
      <c r="I35" s="38">
        <f>MEDIAN(I12:I32)</f>
        <v>83.463181019332168</v>
      </c>
      <c r="J35" s="43">
        <f>(I35/'Urban 08-09'!I35)-1</f>
        <v>1.9255765808055436E-2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19</v>
      </c>
      <c r="K38" s="16"/>
    </row>
    <row r="39" spans="1:21" ht="13.5" customHeight="1" x14ac:dyDescent="0.2">
      <c r="A39" s="17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51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53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110.9</v>
      </c>
      <c r="F12" s="18">
        <v>76.599999999999994</v>
      </c>
      <c r="G12" s="18">
        <v>63.5</v>
      </c>
      <c r="I12" s="18">
        <f>U12</f>
        <v>81.886395759717303</v>
      </c>
      <c r="J12" s="42">
        <f>(I12/'Urban 07-08'!I12)-1</f>
        <v>-1.3034779355582282E-2</v>
      </c>
      <c r="K12" s="16"/>
      <c r="M12" s="35">
        <f>125+39</f>
        <v>164</v>
      </c>
      <c r="N12" s="35">
        <f>119+82</f>
        <v>201</v>
      </c>
      <c r="O12" s="35">
        <f>92+109</f>
        <v>201</v>
      </c>
      <c r="P12" s="33">
        <f t="shared" ref="P12:R32" si="0">E12*M12</f>
        <v>18187.600000000002</v>
      </c>
      <c r="Q12" s="33">
        <f t="shared" si="0"/>
        <v>15396.599999999999</v>
      </c>
      <c r="R12" s="33">
        <f t="shared" si="0"/>
        <v>12763.5</v>
      </c>
      <c r="S12" s="33">
        <f t="shared" ref="S12:S32" si="1">M12+N12+O12</f>
        <v>566</v>
      </c>
      <c r="T12" s="33">
        <f t="shared" ref="T12:T32" si="2">P12+Q12+R12</f>
        <v>46347.7</v>
      </c>
      <c r="U12" s="34">
        <f>T12/S12</f>
        <v>81.886395759717303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99.7</v>
      </c>
      <c r="F13" s="18">
        <v>72.400000000000006</v>
      </c>
      <c r="G13" s="18">
        <v>60.2</v>
      </c>
      <c r="I13" s="18">
        <f t="shared" ref="I13:I32" si="3">U13</f>
        <v>79.818676716917921</v>
      </c>
      <c r="J13" s="42">
        <f>(I13/'Urban 07-08'!I13)-1</f>
        <v>1.896038026097413E-2</v>
      </c>
      <c r="K13" s="16"/>
      <c r="M13" s="35">
        <f>348+115</f>
        <v>463</v>
      </c>
      <c r="N13" s="35">
        <f>234+187</f>
        <v>421</v>
      </c>
      <c r="O13" s="35">
        <f>137+173</f>
        <v>310</v>
      </c>
      <c r="P13" s="33">
        <f t="shared" si="0"/>
        <v>46161.1</v>
      </c>
      <c r="Q13" s="33">
        <f t="shared" si="0"/>
        <v>30480.400000000001</v>
      </c>
      <c r="R13" s="33">
        <f t="shared" si="0"/>
        <v>18662</v>
      </c>
      <c r="S13" s="33">
        <f t="shared" si="1"/>
        <v>1194</v>
      </c>
      <c r="T13" s="33">
        <f t="shared" si="2"/>
        <v>95303.5</v>
      </c>
      <c r="U13" s="34">
        <f t="shared" ref="U13:U32" si="4">T13/S13</f>
        <v>79.818676716917921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99.3</v>
      </c>
      <c r="F14" s="18">
        <v>71.3</v>
      </c>
      <c r="G14" s="18">
        <v>59.3</v>
      </c>
      <c r="I14" s="18">
        <f t="shared" si="3"/>
        <v>76.539436619718302</v>
      </c>
      <c r="J14" s="42">
        <f>(I14/'Urban 07-08'!I14)-1</f>
        <v>2.2316387576851948E-2</v>
      </c>
      <c r="K14" s="16"/>
      <c r="M14" s="35">
        <f>120+36</f>
        <v>156</v>
      </c>
      <c r="N14" s="35">
        <f>119+75</f>
        <v>194</v>
      </c>
      <c r="O14" s="35">
        <f>80+67</f>
        <v>147</v>
      </c>
      <c r="P14" s="33">
        <f t="shared" si="0"/>
        <v>15490.8</v>
      </c>
      <c r="Q14" s="33">
        <f t="shared" si="0"/>
        <v>13832.199999999999</v>
      </c>
      <c r="R14" s="33">
        <f t="shared" si="0"/>
        <v>8717.1</v>
      </c>
      <c r="S14" s="33">
        <f t="shared" si="1"/>
        <v>497</v>
      </c>
      <c r="T14" s="33">
        <f t="shared" si="2"/>
        <v>38040.1</v>
      </c>
      <c r="U14" s="34">
        <f t="shared" si="4"/>
        <v>76.539436619718302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113.4</v>
      </c>
      <c r="F15" s="18">
        <v>87.2</v>
      </c>
      <c r="G15" s="18">
        <v>73.400000000000006</v>
      </c>
      <c r="I15" s="18">
        <f t="shared" si="3"/>
        <v>95.211627906976759</v>
      </c>
      <c r="J15" s="42">
        <f>(I15/'Urban 07-08'!I15)-1</f>
        <v>7.9622847368670868E-2</v>
      </c>
      <c r="K15" s="16"/>
      <c r="M15" s="35">
        <f>160+71</f>
        <v>231</v>
      </c>
      <c r="N15" s="35">
        <f>84+62</f>
        <v>146</v>
      </c>
      <c r="O15" s="35">
        <f>78+61</f>
        <v>139</v>
      </c>
      <c r="P15" s="33">
        <f t="shared" si="0"/>
        <v>26195.4</v>
      </c>
      <c r="Q15" s="33">
        <f t="shared" si="0"/>
        <v>12731.2</v>
      </c>
      <c r="R15" s="33">
        <f t="shared" si="0"/>
        <v>10202.6</v>
      </c>
      <c r="S15" s="33">
        <f t="shared" si="1"/>
        <v>516</v>
      </c>
      <c r="T15" s="33">
        <f t="shared" si="2"/>
        <v>49129.200000000004</v>
      </c>
      <c r="U15" s="34">
        <f t="shared" si="4"/>
        <v>95.211627906976759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106.3</v>
      </c>
      <c r="F16" s="18">
        <v>78.3</v>
      </c>
      <c r="G16" s="18">
        <v>71.8</v>
      </c>
      <c r="I16" s="18">
        <f t="shared" si="3"/>
        <v>84.527080394922422</v>
      </c>
      <c r="J16" s="42">
        <f>(I16/'Urban 07-08'!I16)-1</f>
        <v>1.4858015691175286E-2</v>
      </c>
      <c r="K16" s="16"/>
      <c r="M16" s="35">
        <f>167+45</f>
        <v>212</v>
      </c>
      <c r="N16" s="35">
        <f>161+102</f>
        <v>263</v>
      </c>
      <c r="O16" s="35">
        <f>126+108</f>
        <v>234</v>
      </c>
      <c r="P16" s="33">
        <f t="shared" si="0"/>
        <v>22535.599999999999</v>
      </c>
      <c r="Q16" s="33">
        <f t="shared" si="0"/>
        <v>20592.899999999998</v>
      </c>
      <c r="R16" s="33">
        <f t="shared" si="0"/>
        <v>16801.2</v>
      </c>
      <c r="S16" s="33">
        <f t="shared" si="1"/>
        <v>709</v>
      </c>
      <c r="T16" s="33">
        <f t="shared" si="2"/>
        <v>59929.7</v>
      </c>
      <c r="U16" s="34">
        <f t="shared" si="4"/>
        <v>84.527080394922422</v>
      </c>
    </row>
    <row r="17" spans="1:21" ht="13.5" customHeight="1" x14ac:dyDescent="0.2">
      <c r="A17" s="17"/>
      <c r="C17" s="29">
        <v>6</v>
      </c>
      <c r="D17" s="1" t="s">
        <v>27</v>
      </c>
      <c r="E17" s="18">
        <v>121.8</v>
      </c>
      <c r="F17" s="18">
        <v>77.099999999999994</v>
      </c>
      <c r="G17" s="18">
        <v>65.099999999999994</v>
      </c>
      <c r="I17" s="18">
        <f t="shared" si="3"/>
        <v>83.866065388951512</v>
      </c>
      <c r="J17" s="42">
        <f>(I17/'Urban 07-08'!I17)-1</f>
        <v>3.8064783179271533E-2</v>
      </c>
      <c r="K17" s="16"/>
      <c r="M17" s="35">
        <f>175+50</f>
        <v>225</v>
      </c>
      <c r="N17" s="35">
        <f>174+150</f>
        <v>324</v>
      </c>
      <c r="O17" s="35">
        <f>144+194</f>
        <v>338</v>
      </c>
      <c r="P17" s="33">
        <f t="shared" si="0"/>
        <v>27405</v>
      </c>
      <c r="Q17" s="33">
        <f t="shared" si="0"/>
        <v>24980.399999999998</v>
      </c>
      <c r="R17" s="33">
        <f t="shared" si="0"/>
        <v>22003.8</v>
      </c>
      <c r="S17" s="33">
        <f t="shared" si="1"/>
        <v>887</v>
      </c>
      <c r="T17" s="33">
        <f t="shared" si="2"/>
        <v>74389.2</v>
      </c>
      <c r="U17" s="34">
        <f t="shared" si="4"/>
        <v>83.866065388951512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119.9</v>
      </c>
      <c r="F18" s="18">
        <v>80.3</v>
      </c>
      <c r="G18" s="18">
        <v>77.8</v>
      </c>
      <c r="I18" s="18">
        <f t="shared" si="3"/>
        <v>97.305760368663584</v>
      </c>
      <c r="J18" s="42">
        <f>(I18/'Urban 07-08'!I18)-1</f>
        <v>4.4198243956757199E-2</v>
      </c>
      <c r="K18" s="16"/>
      <c r="M18" s="35">
        <f>325+60</f>
        <v>385</v>
      </c>
      <c r="N18" s="35">
        <f>189+100</f>
        <v>289</v>
      </c>
      <c r="O18" s="35">
        <f>118+76</f>
        <v>194</v>
      </c>
      <c r="P18" s="33">
        <f t="shared" si="0"/>
        <v>46161.5</v>
      </c>
      <c r="Q18" s="33">
        <f t="shared" si="0"/>
        <v>23206.7</v>
      </c>
      <c r="R18" s="33">
        <f t="shared" si="0"/>
        <v>15093.199999999999</v>
      </c>
      <c r="S18" s="33">
        <f t="shared" si="1"/>
        <v>868</v>
      </c>
      <c r="T18" s="33">
        <f t="shared" si="2"/>
        <v>84461.4</v>
      </c>
      <c r="U18" s="34">
        <f t="shared" si="4"/>
        <v>97.305760368663584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118.7</v>
      </c>
      <c r="F19" s="18">
        <v>84.5</v>
      </c>
      <c r="G19" s="18">
        <v>72.900000000000006</v>
      </c>
      <c r="I19" s="18">
        <f t="shared" si="3"/>
        <v>93.32355371900826</v>
      </c>
      <c r="J19" s="42">
        <f>(I19/'Urban 07-08'!I19)-1</f>
        <v>1.4692316570526165E-2</v>
      </c>
      <c r="K19" s="16"/>
      <c r="M19" s="35">
        <f>251+91</f>
        <v>342</v>
      </c>
      <c r="N19" s="35">
        <f>214+140</f>
        <v>354</v>
      </c>
      <c r="O19" s="35">
        <f>122+150</f>
        <v>272</v>
      </c>
      <c r="P19" s="33">
        <f t="shared" si="0"/>
        <v>40595.4</v>
      </c>
      <c r="Q19" s="33">
        <f t="shared" si="0"/>
        <v>29913</v>
      </c>
      <c r="R19" s="33">
        <f t="shared" si="0"/>
        <v>19828.800000000003</v>
      </c>
      <c r="S19" s="33">
        <f t="shared" si="1"/>
        <v>968</v>
      </c>
      <c r="T19" s="33">
        <f t="shared" si="2"/>
        <v>90337.2</v>
      </c>
      <c r="U19" s="34">
        <f t="shared" si="4"/>
        <v>93.32355371900826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99.5</v>
      </c>
      <c r="F20" s="18">
        <v>75.900000000000006</v>
      </c>
      <c r="G20" s="18">
        <v>61.2</v>
      </c>
      <c r="I20" s="18">
        <f t="shared" si="3"/>
        <v>77.615838926174504</v>
      </c>
      <c r="J20" s="42">
        <f>(I20/'Urban 07-08'!I20)-1</f>
        <v>3.1833341393793679E-2</v>
      </c>
      <c r="K20" s="16"/>
      <c r="M20" s="35">
        <f>148+65</f>
        <v>213</v>
      </c>
      <c r="N20" s="35">
        <f>150+127</f>
        <v>277</v>
      </c>
      <c r="O20" s="35">
        <f>118+137</f>
        <v>255</v>
      </c>
      <c r="P20" s="33">
        <f t="shared" si="0"/>
        <v>21193.5</v>
      </c>
      <c r="Q20" s="33">
        <f t="shared" si="0"/>
        <v>21024.300000000003</v>
      </c>
      <c r="R20" s="33">
        <f t="shared" si="0"/>
        <v>15606</v>
      </c>
      <c r="S20" s="33">
        <f t="shared" si="1"/>
        <v>745</v>
      </c>
      <c r="T20" s="33">
        <f t="shared" si="2"/>
        <v>57823.8</v>
      </c>
      <c r="U20" s="34">
        <f t="shared" si="4"/>
        <v>77.615838926174504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112.9</v>
      </c>
      <c r="F21" s="18">
        <v>88</v>
      </c>
      <c r="G21" s="18">
        <v>70.7</v>
      </c>
      <c r="I21" s="18">
        <f t="shared" si="3"/>
        <v>90.013910761154861</v>
      </c>
      <c r="J21" s="42">
        <f>(I21/'Urban 07-08'!I21)-1</f>
        <v>2.728179934131636E-2</v>
      </c>
      <c r="K21" s="16"/>
      <c r="M21" s="35">
        <f>80+46</f>
        <v>126</v>
      </c>
      <c r="N21" s="35">
        <f>61+57</f>
        <v>118</v>
      </c>
      <c r="O21" s="35">
        <f>62+75</f>
        <v>137</v>
      </c>
      <c r="P21" s="33">
        <f t="shared" si="0"/>
        <v>14225.400000000001</v>
      </c>
      <c r="Q21" s="33">
        <f t="shared" si="0"/>
        <v>10384</v>
      </c>
      <c r="R21" s="33">
        <f t="shared" si="0"/>
        <v>9685.9</v>
      </c>
      <c r="S21" s="33">
        <f t="shared" si="1"/>
        <v>381</v>
      </c>
      <c r="T21" s="33">
        <f t="shared" si="2"/>
        <v>34295.300000000003</v>
      </c>
      <c r="U21" s="34">
        <f t="shared" si="4"/>
        <v>90.013910761154861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99.9</v>
      </c>
      <c r="F22" s="18">
        <v>69.900000000000006</v>
      </c>
      <c r="G22" s="18">
        <v>59.1</v>
      </c>
      <c r="I22" s="18">
        <f t="shared" si="3"/>
        <v>76.422162162162152</v>
      </c>
      <c r="J22" s="42">
        <f>(I22/'Urban 07-08'!I22)-1</f>
        <v>3.0344482184555988E-2</v>
      </c>
      <c r="K22" s="16"/>
      <c r="M22" s="35">
        <f>199+49</f>
        <v>248</v>
      </c>
      <c r="N22" s="35">
        <f>150+100</f>
        <v>250</v>
      </c>
      <c r="O22" s="35">
        <f>110+132</f>
        <v>242</v>
      </c>
      <c r="P22" s="33">
        <f t="shared" si="0"/>
        <v>24775.200000000001</v>
      </c>
      <c r="Q22" s="33">
        <f t="shared" si="0"/>
        <v>17475</v>
      </c>
      <c r="R22" s="33">
        <f t="shared" si="0"/>
        <v>14302.2</v>
      </c>
      <c r="S22" s="33">
        <f t="shared" si="1"/>
        <v>740</v>
      </c>
      <c r="T22" s="33">
        <f t="shared" si="2"/>
        <v>56552.399999999994</v>
      </c>
      <c r="U22" s="34">
        <f t="shared" si="4"/>
        <v>76.422162162162152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106.7</v>
      </c>
      <c r="F23" s="23">
        <v>75.5</v>
      </c>
      <c r="G23" s="23">
        <v>62.4</v>
      </c>
      <c r="H23" s="22"/>
      <c r="I23" s="23">
        <f t="shared" si="3"/>
        <v>78.502321428571435</v>
      </c>
      <c r="J23" s="44">
        <f>(I23/'Urban 07-08'!I23)-1</f>
        <v>4.2805502745169477E-2</v>
      </c>
      <c r="K23" s="16"/>
      <c r="M23" s="35">
        <v>145</v>
      </c>
      <c r="N23" s="35">
        <v>198</v>
      </c>
      <c r="O23" s="35">
        <v>217</v>
      </c>
      <c r="P23" s="33">
        <f t="shared" si="0"/>
        <v>15471.5</v>
      </c>
      <c r="Q23" s="33">
        <f t="shared" si="0"/>
        <v>14949</v>
      </c>
      <c r="R23" s="33">
        <f t="shared" si="0"/>
        <v>13540.8</v>
      </c>
      <c r="S23" s="33">
        <f t="shared" si="1"/>
        <v>560</v>
      </c>
      <c r="T23" s="33">
        <f t="shared" si="2"/>
        <v>43961.3</v>
      </c>
      <c r="U23" s="34">
        <f t="shared" si="4"/>
        <v>78.502321428571435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94.8</v>
      </c>
      <c r="F24" s="23">
        <v>68.099999999999994</v>
      </c>
      <c r="G24" s="23">
        <v>59.7</v>
      </c>
      <c r="H24" s="22"/>
      <c r="I24" s="23">
        <f t="shared" si="3"/>
        <v>73.513194444444437</v>
      </c>
      <c r="J24" s="44">
        <f>(I24/'Urban 07-08'!I24)-1</f>
        <v>6.8976338563379924E-2</v>
      </c>
      <c r="K24" s="16"/>
      <c r="M24" s="35">
        <v>131</v>
      </c>
      <c r="N24" s="35">
        <v>163</v>
      </c>
      <c r="O24" s="35">
        <v>138</v>
      </c>
      <c r="P24" s="33">
        <f t="shared" si="0"/>
        <v>12418.8</v>
      </c>
      <c r="Q24" s="33">
        <f t="shared" si="0"/>
        <v>11100.3</v>
      </c>
      <c r="R24" s="33">
        <f t="shared" si="0"/>
        <v>8238.6</v>
      </c>
      <c r="S24" s="33">
        <f t="shared" si="1"/>
        <v>432</v>
      </c>
      <c r="T24" s="33">
        <f t="shared" si="2"/>
        <v>31757.699999999997</v>
      </c>
      <c r="U24" s="34">
        <f t="shared" si="4"/>
        <v>73.513194444444437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87.9</v>
      </c>
      <c r="F25" s="18">
        <v>66</v>
      </c>
      <c r="G25" s="18">
        <v>62.2</v>
      </c>
      <c r="I25" s="18">
        <f t="shared" si="3"/>
        <v>74.285403726708068</v>
      </c>
      <c r="J25" s="42">
        <f>(I25/'Urban 07-08'!I25)-1</f>
        <v>6.1083838072089058E-3</v>
      </c>
      <c r="K25" s="16"/>
      <c r="M25" s="35">
        <f>105+34</f>
        <v>139</v>
      </c>
      <c r="N25" s="35">
        <f>53+31</f>
        <v>84</v>
      </c>
      <c r="O25" s="35">
        <f>62+37</f>
        <v>99</v>
      </c>
      <c r="P25" s="33">
        <f t="shared" si="0"/>
        <v>12218.1</v>
      </c>
      <c r="Q25" s="33">
        <f t="shared" si="0"/>
        <v>5544</v>
      </c>
      <c r="R25" s="33">
        <f t="shared" si="0"/>
        <v>6157.8</v>
      </c>
      <c r="S25" s="33">
        <f t="shared" si="1"/>
        <v>322</v>
      </c>
      <c r="T25" s="33">
        <f t="shared" si="2"/>
        <v>23919.899999999998</v>
      </c>
      <c r="U25" s="34">
        <f t="shared" si="4"/>
        <v>74.285403726708068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127.3</v>
      </c>
      <c r="F26" s="18">
        <v>85.6</v>
      </c>
      <c r="G26" s="18">
        <v>71.099999999999994</v>
      </c>
      <c r="I26" s="18">
        <f t="shared" si="3"/>
        <v>94.761931420573816</v>
      </c>
      <c r="J26" s="42">
        <f>(I26/'Urban 07-08'!I26)-1</f>
        <v>5.0502741504133475E-2</v>
      </c>
      <c r="K26" s="16"/>
      <c r="M26" s="35">
        <f>378+114</f>
        <v>492</v>
      </c>
      <c r="N26" s="35">
        <f>293+132</f>
        <v>425</v>
      </c>
      <c r="O26" s="35">
        <f>248+264</f>
        <v>512</v>
      </c>
      <c r="P26" s="33">
        <f t="shared" si="0"/>
        <v>62631.6</v>
      </c>
      <c r="Q26" s="33">
        <f t="shared" si="0"/>
        <v>36380</v>
      </c>
      <c r="R26" s="33">
        <f t="shared" si="0"/>
        <v>36403.199999999997</v>
      </c>
      <c r="S26" s="33">
        <f t="shared" si="1"/>
        <v>1429</v>
      </c>
      <c r="T26" s="33">
        <f t="shared" si="2"/>
        <v>135414.79999999999</v>
      </c>
      <c r="U26" s="34">
        <f t="shared" si="4"/>
        <v>94.761931420573816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88.7</v>
      </c>
      <c r="F27" s="18">
        <v>67.8</v>
      </c>
      <c r="G27" s="18">
        <v>55.7</v>
      </c>
      <c r="I27" s="18">
        <f t="shared" si="3"/>
        <v>72.135409252669035</v>
      </c>
      <c r="J27" s="42">
        <f>(I27/'Urban 07-08'!I27)-1</f>
        <v>6.1729918083622382E-2</v>
      </c>
      <c r="K27" s="16"/>
      <c r="M27" s="35">
        <f>151+64</f>
        <v>215</v>
      </c>
      <c r="N27" s="35">
        <f>106+71</f>
        <v>177</v>
      </c>
      <c r="O27" s="35">
        <f>84+86</f>
        <v>170</v>
      </c>
      <c r="P27" s="33">
        <f t="shared" si="0"/>
        <v>19070.5</v>
      </c>
      <c r="Q27" s="33">
        <f t="shared" si="0"/>
        <v>12000.6</v>
      </c>
      <c r="R27" s="33">
        <f t="shared" si="0"/>
        <v>9469</v>
      </c>
      <c r="S27" s="33">
        <f t="shared" si="1"/>
        <v>562</v>
      </c>
      <c r="T27" s="33">
        <f t="shared" si="2"/>
        <v>40540.1</v>
      </c>
      <c r="U27" s="34">
        <f t="shared" si="4"/>
        <v>72.135409252669035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122.9</v>
      </c>
      <c r="F28" s="18">
        <v>87.3</v>
      </c>
      <c r="G28" s="18">
        <v>62.1</v>
      </c>
      <c r="I28" s="18">
        <f t="shared" si="3"/>
        <v>89.704698512137824</v>
      </c>
      <c r="J28" s="42">
        <f>(I28/'Urban 07-08'!I28)-1</f>
        <v>-0.10074253895635321</v>
      </c>
      <c r="K28" s="16"/>
      <c r="M28" s="35">
        <f>327+87</f>
        <v>414</v>
      </c>
      <c r="N28" s="35">
        <f>229+171</f>
        <v>400</v>
      </c>
      <c r="O28" s="35">
        <f>262+201</f>
        <v>463</v>
      </c>
      <c r="P28" s="33">
        <f t="shared" si="0"/>
        <v>50880.600000000006</v>
      </c>
      <c r="Q28" s="33">
        <f t="shared" si="0"/>
        <v>34920</v>
      </c>
      <c r="R28" s="33">
        <f t="shared" si="0"/>
        <v>28752.3</v>
      </c>
      <c r="S28" s="33">
        <f t="shared" si="1"/>
        <v>1277</v>
      </c>
      <c r="T28" s="33">
        <f t="shared" si="2"/>
        <v>114552.90000000001</v>
      </c>
      <c r="U28" s="34">
        <f t="shared" si="4"/>
        <v>89.704698512137824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94.3</v>
      </c>
      <c r="F29" s="18">
        <v>70.2</v>
      </c>
      <c r="G29" s="18">
        <v>61.9</v>
      </c>
      <c r="I29" s="18">
        <f t="shared" si="3"/>
        <v>76.462419354838715</v>
      </c>
      <c r="J29" s="42">
        <f>(I29/'Urban 07-08'!I29)-1</f>
        <v>2.5547233991936036E-3</v>
      </c>
      <c r="K29" s="16"/>
      <c r="M29" s="35">
        <f>169+51</f>
        <v>220</v>
      </c>
      <c r="N29" s="35">
        <f>149+80</f>
        <v>229</v>
      </c>
      <c r="O29" s="35">
        <f>91+80</f>
        <v>171</v>
      </c>
      <c r="P29" s="33">
        <f t="shared" si="0"/>
        <v>20746</v>
      </c>
      <c r="Q29" s="33">
        <f t="shared" si="0"/>
        <v>16075.800000000001</v>
      </c>
      <c r="R29" s="33">
        <f t="shared" si="0"/>
        <v>10584.9</v>
      </c>
      <c r="S29" s="33">
        <f t="shared" si="1"/>
        <v>620</v>
      </c>
      <c r="T29" s="33">
        <f t="shared" si="2"/>
        <v>47406.700000000004</v>
      </c>
      <c r="U29" s="34">
        <f t="shared" si="4"/>
        <v>76.462419354838715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112.7</v>
      </c>
      <c r="F30" s="18">
        <v>80.599999999999994</v>
      </c>
      <c r="G30" s="18">
        <v>65.5</v>
      </c>
      <c r="I30" s="18">
        <f t="shared" si="3"/>
        <v>82.594255874673635</v>
      </c>
      <c r="J30" s="42">
        <f>(I30/'Urban 07-08'!I30)-1</f>
        <v>4.7131142396874548E-3</v>
      </c>
      <c r="K30" s="16"/>
      <c r="M30" s="35">
        <f>227+73</f>
        <v>300</v>
      </c>
      <c r="N30" s="35">
        <f>214+149</f>
        <v>363</v>
      </c>
      <c r="O30" s="35">
        <f>238+248</f>
        <v>486</v>
      </c>
      <c r="P30" s="33">
        <f t="shared" si="0"/>
        <v>33810</v>
      </c>
      <c r="Q30" s="33">
        <f t="shared" si="0"/>
        <v>29257.8</v>
      </c>
      <c r="R30" s="33">
        <f t="shared" si="0"/>
        <v>31833</v>
      </c>
      <c r="S30" s="33">
        <f t="shared" si="1"/>
        <v>1149</v>
      </c>
      <c r="T30" s="33">
        <f t="shared" si="2"/>
        <v>94900.800000000003</v>
      </c>
      <c r="U30" s="34">
        <f t="shared" si="4"/>
        <v>82.594255874673635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110.9</v>
      </c>
      <c r="F31" s="18">
        <v>84.2</v>
      </c>
      <c r="G31" s="18">
        <v>69</v>
      </c>
      <c r="I31" s="18">
        <f t="shared" si="3"/>
        <v>88.306698002350174</v>
      </c>
      <c r="J31" s="42">
        <f>(I31/'Urban 07-08'!I31)-1</f>
        <v>3.7499321279981457E-2</v>
      </c>
      <c r="K31" s="16"/>
      <c r="M31" s="35">
        <f>237+55</f>
        <v>292</v>
      </c>
      <c r="N31" s="35">
        <f>164+112</f>
        <v>276</v>
      </c>
      <c r="O31" s="35">
        <f>140+143</f>
        <v>283</v>
      </c>
      <c r="P31" s="33">
        <f t="shared" si="0"/>
        <v>32382.800000000003</v>
      </c>
      <c r="Q31" s="33">
        <f t="shared" si="0"/>
        <v>23239.200000000001</v>
      </c>
      <c r="R31" s="33">
        <f t="shared" si="0"/>
        <v>19527</v>
      </c>
      <c r="S31" s="33">
        <f t="shared" si="1"/>
        <v>851</v>
      </c>
      <c r="T31" s="33">
        <f t="shared" si="2"/>
        <v>75149</v>
      </c>
      <c r="U31" s="34">
        <f t="shared" si="4"/>
        <v>88.306698002350174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93.7</v>
      </c>
      <c r="F32" s="18">
        <v>71</v>
      </c>
      <c r="G32" s="18">
        <v>63.5</v>
      </c>
      <c r="I32" s="18">
        <f t="shared" si="3"/>
        <v>74.778163771712158</v>
      </c>
      <c r="J32" s="42">
        <f>(I32/'Urban 07-08'!I32)-1</f>
        <v>1.9984058564448404E-2</v>
      </c>
      <c r="K32" s="16"/>
      <c r="M32" s="35">
        <f>149+77</f>
        <v>226</v>
      </c>
      <c r="N32" s="35">
        <f>180+122</f>
        <v>302</v>
      </c>
      <c r="O32" s="35">
        <f>125+153</f>
        <v>278</v>
      </c>
      <c r="P32" s="33">
        <f t="shared" si="0"/>
        <v>21176.2</v>
      </c>
      <c r="Q32" s="33">
        <f t="shared" si="0"/>
        <v>21442</v>
      </c>
      <c r="R32" s="33">
        <f t="shared" si="0"/>
        <v>17653</v>
      </c>
      <c r="S32" s="33">
        <f t="shared" si="1"/>
        <v>806</v>
      </c>
      <c r="T32" s="33">
        <f t="shared" si="2"/>
        <v>60271.199999999997</v>
      </c>
      <c r="U32" s="34">
        <f t="shared" si="4"/>
        <v>74.778163771712158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109.33369544858587</v>
      </c>
      <c r="F34" s="38">
        <f>Q34/N34</f>
        <v>77.910781078107803</v>
      </c>
      <c r="G34" s="38">
        <f t="shared" ref="G34" si="5">R34/O34</f>
        <v>65.422985244040873</v>
      </c>
      <c r="H34" s="36"/>
      <c r="I34" s="38">
        <f t="shared" ref="I34" si="6">U34</f>
        <v>84.239312146277754</v>
      </c>
      <c r="J34" s="43">
        <f>(I34/'Urban 07-08'!I34)-1</f>
        <v>2.0736216627618154E-2</v>
      </c>
      <c r="K34" s="16"/>
      <c r="M34" s="37">
        <f t="shared" ref="M34:R34" si="7">SUM(M12:M32)</f>
        <v>5339</v>
      </c>
      <c r="N34" s="37">
        <f t="shared" si="7"/>
        <v>5454</v>
      </c>
      <c r="O34" s="37">
        <f t="shared" si="7"/>
        <v>5286</v>
      </c>
      <c r="P34" s="37">
        <f t="shared" si="7"/>
        <v>583732.6</v>
      </c>
      <c r="Q34" s="37">
        <f t="shared" si="7"/>
        <v>424925.39999999997</v>
      </c>
      <c r="R34" s="37">
        <f t="shared" si="7"/>
        <v>345825.9</v>
      </c>
      <c r="S34" s="33">
        <f>M34+N34+O34</f>
        <v>16079</v>
      </c>
      <c r="T34" s="33">
        <f>P34+Q34+R34</f>
        <v>1354483.9</v>
      </c>
      <c r="U34" s="34">
        <f>T34/S34</f>
        <v>84.239312146277754</v>
      </c>
    </row>
    <row r="35" spans="1:21" ht="13.5" customHeight="1" x14ac:dyDescent="0.2">
      <c r="A35" s="17"/>
      <c r="D35" s="41" t="s">
        <v>44</v>
      </c>
      <c r="E35" s="38">
        <f>MEDIAN(E12:E32)</f>
        <v>106.7</v>
      </c>
      <c r="F35" s="38">
        <f>MEDIAN(F12:F32)</f>
        <v>76.599999999999994</v>
      </c>
      <c r="G35" s="38">
        <f>MEDIAN(G12:G32)</f>
        <v>63.5</v>
      </c>
      <c r="H35" s="36"/>
      <c r="I35" s="38">
        <f>MEDIAN(I12:I32)</f>
        <v>81.886395759717303</v>
      </c>
      <c r="J35" s="43">
        <f>(I35/'Urban 07-08'!I35)-1</f>
        <v>1.3561125890630743E-2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19</v>
      </c>
      <c r="K38" s="16"/>
    </row>
    <row r="39" spans="1:21" ht="13.5" customHeight="1" x14ac:dyDescent="0.2">
      <c r="A39" s="17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54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22" width="9.140625" style="1"/>
    <col min="23" max="23" width="33.140625" style="1" customWidth="1"/>
    <col min="24" max="16384" width="9.140625" style="1"/>
  </cols>
  <sheetData>
    <row r="1" spans="1:35" s="2" customFormat="1" ht="13.5" customHeight="1" x14ac:dyDescent="0.2">
      <c r="C1" s="24"/>
    </row>
    <row r="2" spans="1:35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35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35" s="2" customFormat="1" ht="15" customHeight="1" x14ac:dyDescent="0.25">
      <c r="A4" s="3"/>
      <c r="B4" s="6" t="s">
        <v>55</v>
      </c>
      <c r="C4" s="26"/>
      <c r="D4" s="7"/>
      <c r="K4" s="5"/>
    </row>
    <row r="5" spans="1:35" s="2" customFormat="1" ht="15" customHeight="1" x14ac:dyDescent="0.25">
      <c r="A5" s="3"/>
      <c r="B5" s="6" t="s">
        <v>59</v>
      </c>
      <c r="C5" s="26"/>
      <c r="D5" s="7"/>
      <c r="K5" s="5"/>
    </row>
    <row r="6" spans="1:35" s="2" customFormat="1" ht="15" customHeight="1" x14ac:dyDescent="0.25">
      <c r="A6" s="3"/>
      <c r="B6" s="6" t="s">
        <v>60</v>
      </c>
      <c r="C6" s="26"/>
      <c r="D6" s="7"/>
      <c r="K6" s="5"/>
    </row>
    <row r="7" spans="1:35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  <c r="W7" s="1" t="s">
        <v>58</v>
      </c>
    </row>
    <row r="8" spans="1:35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  <c r="AB8" s="15" t="s">
        <v>8</v>
      </c>
      <c r="AC8" s="10"/>
      <c r="AD8" s="31"/>
      <c r="AE8" s="15" t="s">
        <v>14</v>
      </c>
      <c r="AF8" s="31"/>
      <c r="AG8" s="32" t="s">
        <v>12</v>
      </c>
      <c r="AH8" s="32" t="s">
        <v>12</v>
      </c>
      <c r="AI8" s="32" t="s">
        <v>16</v>
      </c>
    </row>
    <row r="9" spans="1:35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  <c r="X9" s="11" t="s">
        <v>2</v>
      </c>
      <c r="Y9" s="11" t="s">
        <v>3</v>
      </c>
      <c r="Z9" s="11" t="s">
        <v>4</v>
      </c>
      <c r="AA9" s="11" t="s">
        <v>9</v>
      </c>
      <c r="AB9" s="11" t="s">
        <v>10</v>
      </c>
      <c r="AC9" s="11" t="s">
        <v>11</v>
      </c>
      <c r="AD9" s="11" t="s">
        <v>9</v>
      </c>
      <c r="AE9" s="11" t="s">
        <v>10</v>
      </c>
      <c r="AF9" s="11" t="s">
        <v>11</v>
      </c>
      <c r="AG9" s="11" t="s">
        <v>13</v>
      </c>
      <c r="AH9" s="11" t="s">
        <v>15</v>
      </c>
      <c r="AI9" s="11" t="s">
        <v>15</v>
      </c>
    </row>
    <row r="10" spans="1:35" ht="13.5" customHeight="1" x14ac:dyDescent="0.2">
      <c r="A10" s="17"/>
      <c r="K10" s="16"/>
    </row>
    <row r="11" spans="1:35" ht="13.5" customHeight="1" x14ac:dyDescent="0.2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35" ht="13.5" customHeight="1" x14ac:dyDescent="0.2">
      <c r="A12" s="17"/>
      <c r="C12" s="29">
        <v>1</v>
      </c>
      <c r="D12" s="1" t="s">
        <v>23</v>
      </c>
      <c r="E12" s="18">
        <v>110.8</v>
      </c>
      <c r="F12" s="18">
        <v>77.7</v>
      </c>
      <c r="G12" s="18">
        <v>64.400000000000006</v>
      </c>
      <c r="I12" s="18">
        <f>U12</f>
        <v>82.967863554757628</v>
      </c>
      <c r="J12" s="42">
        <f>(I12/AI12)-1</f>
        <v>7.0965620714056765E-2</v>
      </c>
      <c r="K12" s="16"/>
      <c r="M12" s="35">
        <f>126+41</f>
        <v>167</v>
      </c>
      <c r="N12" s="35">
        <f>119+76</f>
        <v>195</v>
      </c>
      <c r="O12" s="35">
        <f>87+108</f>
        <v>195</v>
      </c>
      <c r="P12" s="33">
        <f>E12*M12</f>
        <v>18503.599999999999</v>
      </c>
      <c r="Q12" s="33">
        <f t="shared" ref="P12:R32" si="0">F12*N12</f>
        <v>15151.5</v>
      </c>
      <c r="R12" s="33">
        <f t="shared" si="0"/>
        <v>12558.000000000002</v>
      </c>
      <c r="S12" s="33">
        <f t="shared" ref="S12:S32" si="1">M12+N12+O12</f>
        <v>557</v>
      </c>
      <c r="T12" s="33">
        <f t="shared" ref="T12:T32" si="2">P12+Q12+R12</f>
        <v>46213.1</v>
      </c>
      <c r="U12" s="34">
        <f>T12/S12</f>
        <v>82.967863554757628</v>
      </c>
      <c r="W12" s="1" t="s">
        <v>23</v>
      </c>
      <c r="X12" s="18">
        <v>103.6</v>
      </c>
      <c r="Y12" s="18">
        <v>73.099999999999994</v>
      </c>
      <c r="Z12" s="18">
        <v>59.9</v>
      </c>
      <c r="AA12" s="35">
        <f>121+36</f>
        <v>157</v>
      </c>
      <c r="AB12" s="35">
        <f>125+82</f>
        <v>207</v>
      </c>
      <c r="AC12" s="35">
        <f>74+108</f>
        <v>182</v>
      </c>
      <c r="AD12" s="33">
        <f>X12*AA12</f>
        <v>16265.199999999999</v>
      </c>
      <c r="AE12" s="33">
        <f>Y12*AB12</f>
        <v>15131.699999999999</v>
      </c>
      <c r="AF12" s="33">
        <f>Z12*AC12</f>
        <v>10901.8</v>
      </c>
      <c r="AG12" s="33">
        <f t="shared" ref="AG12:AG32" si="3">AA12+AB12+AC12</f>
        <v>546</v>
      </c>
      <c r="AH12" s="33">
        <f t="shared" ref="AH12:AH32" si="4">AD12+AE12+AF12</f>
        <v>42298.7</v>
      </c>
      <c r="AI12" s="34">
        <f>AH12/AG12</f>
        <v>77.470146520146514</v>
      </c>
    </row>
    <row r="13" spans="1:35" ht="13.5" customHeight="1" x14ac:dyDescent="0.2">
      <c r="A13" s="17"/>
      <c r="C13" s="29">
        <v>2</v>
      </c>
      <c r="D13" s="1" t="s">
        <v>24</v>
      </c>
      <c r="E13" s="18">
        <v>98.2</v>
      </c>
      <c r="F13" s="18">
        <v>70.599999999999994</v>
      </c>
      <c r="G13" s="18">
        <v>58.2</v>
      </c>
      <c r="I13" s="18">
        <f t="shared" ref="I13:I32" si="5">U13</f>
        <v>78.333444816053515</v>
      </c>
      <c r="J13" s="42">
        <f t="shared" ref="J13:J32" si="6">(I13/AI13)-1</f>
        <v>1.5842275062882605E-2</v>
      </c>
      <c r="K13" s="16"/>
      <c r="M13" s="35">
        <f>358+111</f>
        <v>469</v>
      </c>
      <c r="N13" s="35">
        <f>247+182</f>
        <v>429</v>
      </c>
      <c r="O13" s="35">
        <f>135+163</f>
        <v>298</v>
      </c>
      <c r="P13" s="33">
        <f t="shared" si="0"/>
        <v>46055.8</v>
      </c>
      <c r="Q13" s="33">
        <f t="shared" si="0"/>
        <v>30287.399999999998</v>
      </c>
      <c r="R13" s="33">
        <f t="shared" si="0"/>
        <v>17343.600000000002</v>
      </c>
      <c r="S13" s="33">
        <f t="shared" si="1"/>
        <v>1196</v>
      </c>
      <c r="T13" s="33">
        <f t="shared" si="2"/>
        <v>93686.8</v>
      </c>
      <c r="U13" s="34">
        <f t="shared" ref="U13:U32" si="7">T13/S13</f>
        <v>78.333444816053515</v>
      </c>
      <c r="W13" s="1" t="s">
        <v>24</v>
      </c>
      <c r="X13" s="18">
        <v>96.3</v>
      </c>
      <c r="Y13" s="18">
        <v>69.900000000000006</v>
      </c>
      <c r="Z13" s="18">
        <v>57.8</v>
      </c>
      <c r="AA13" s="35">
        <f>365+109</f>
        <v>474</v>
      </c>
      <c r="AB13" s="35">
        <f>254+169</f>
        <v>423</v>
      </c>
      <c r="AC13" s="35">
        <f>138+175</f>
        <v>313</v>
      </c>
      <c r="AD13" s="33">
        <f t="shared" ref="AD13:AD32" si="8">X13*AA13</f>
        <v>45646.2</v>
      </c>
      <c r="AE13" s="33">
        <f t="shared" ref="AE13:AE32" si="9">Y13*AB13</f>
        <v>29567.7</v>
      </c>
      <c r="AF13" s="33">
        <f t="shared" ref="AF13:AF32" si="10">Z13*AC13</f>
        <v>18091.399999999998</v>
      </c>
      <c r="AG13" s="33">
        <f t="shared" si="3"/>
        <v>1210</v>
      </c>
      <c r="AH13" s="33">
        <f t="shared" si="4"/>
        <v>93305.299999999988</v>
      </c>
      <c r="AI13" s="34">
        <f t="shared" ref="AI13:AI32" si="11">AH13/AG13</f>
        <v>77.111818181818165</v>
      </c>
    </row>
    <row r="14" spans="1:35" ht="13.5" customHeight="1" x14ac:dyDescent="0.2">
      <c r="A14" s="17"/>
      <c r="C14" s="29">
        <v>3</v>
      </c>
      <c r="D14" s="1" t="s">
        <v>25</v>
      </c>
      <c r="E14" s="18">
        <v>96.6</v>
      </c>
      <c r="F14" s="18">
        <v>70.5</v>
      </c>
      <c r="G14" s="18">
        <v>56.7</v>
      </c>
      <c r="I14" s="18">
        <f t="shared" si="5"/>
        <v>74.868639053254441</v>
      </c>
      <c r="J14" s="42">
        <f t="shared" si="6"/>
        <v>6.9223404531810084E-2</v>
      </c>
      <c r="K14" s="16"/>
      <c r="M14" s="35">
        <f>125+36</f>
        <v>161</v>
      </c>
      <c r="N14" s="35">
        <f>126+76</f>
        <v>202</v>
      </c>
      <c r="O14" s="35">
        <f>80+64</f>
        <v>144</v>
      </c>
      <c r="P14" s="33">
        <f t="shared" si="0"/>
        <v>15552.599999999999</v>
      </c>
      <c r="Q14" s="33">
        <f t="shared" si="0"/>
        <v>14241</v>
      </c>
      <c r="R14" s="33">
        <f t="shared" si="0"/>
        <v>8164.8</v>
      </c>
      <c r="S14" s="33">
        <f t="shared" si="1"/>
        <v>507</v>
      </c>
      <c r="T14" s="33">
        <f t="shared" si="2"/>
        <v>37958.400000000001</v>
      </c>
      <c r="U14" s="34">
        <f t="shared" si="7"/>
        <v>74.868639053254441</v>
      </c>
      <c r="W14" s="1" t="s">
        <v>25</v>
      </c>
      <c r="X14" s="18">
        <v>90.4</v>
      </c>
      <c r="Y14" s="18">
        <v>65.900000000000006</v>
      </c>
      <c r="Z14" s="18">
        <v>53.7</v>
      </c>
      <c r="AA14" s="35">
        <f>128+33</f>
        <v>161</v>
      </c>
      <c r="AB14" s="35">
        <f>126+80</f>
        <v>206</v>
      </c>
      <c r="AC14" s="35">
        <f>83+66</f>
        <v>149</v>
      </c>
      <c r="AD14" s="33">
        <f t="shared" si="8"/>
        <v>14554.400000000001</v>
      </c>
      <c r="AE14" s="33">
        <f t="shared" si="9"/>
        <v>13575.400000000001</v>
      </c>
      <c r="AF14" s="33">
        <f t="shared" si="10"/>
        <v>8001.3</v>
      </c>
      <c r="AG14" s="33">
        <f t="shared" si="3"/>
        <v>516</v>
      </c>
      <c r="AH14" s="33">
        <f t="shared" si="4"/>
        <v>36131.100000000006</v>
      </c>
      <c r="AI14" s="34">
        <f t="shared" si="11"/>
        <v>70.021511627906989</v>
      </c>
    </row>
    <row r="15" spans="1:35" ht="13.5" customHeight="1" x14ac:dyDescent="0.2">
      <c r="A15" s="17"/>
      <c r="C15" s="29">
        <v>4</v>
      </c>
      <c r="D15" s="1" t="s">
        <v>42</v>
      </c>
      <c r="E15" s="18">
        <v>104.9</v>
      </c>
      <c r="F15" s="18">
        <v>81</v>
      </c>
      <c r="G15" s="18">
        <v>68</v>
      </c>
      <c r="I15" s="18">
        <f t="shared" si="5"/>
        <v>88.189711934156378</v>
      </c>
      <c r="J15" s="42">
        <f t="shared" si="6"/>
        <v>1.3722023814995543E-2</v>
      </c>
      <c r="K15" s="16"/>
      <c r="M15" s="35">
        <f>157+61</f>
        <v>218</v>
      </c>
      <c r="N15" s="35">
        <f>78+58</f>
        <v>136</v>
      </c>
      <c r="O15" s="35">
        <f>71+61</f>
        <v>132</v>
      </c>
      <c r="P15" s="33">
        <f t="shared" si="0"/>
        <v>22868.2</v>
      </c>
      <c r="Q15" s="33">
        <f t="shared" si="0"/>
        <v>11016</v>
      </c>
      <c r="R15" s="33">
        <f t="shared" si="0"/>
        <v>8976</v>
      </c>
      <c r="S15" s="33">
        <f t="shared" si="1"/>
        <v>486</v>
      </c>
      <c r="T15" s="33">
        <f t="shared" si="2"/>
        <v>42860.2</v>
      </c>
      <c r="U15" s="34">
        <f t="shared" si="7"/>
        <v>88.189711934156378</v>
      </c>
      <c r="W15" s="1" t="s">
        <v>42</v>
      </c>
      <c r="X15" s="18">
        <v>102.7</v>
      </c>
      <c r="Y15" s="18">
        <v>81.5</v>
      </c>
      <c r="Z15" s="18">
        <v>66.5</v>
      </c>
      <c r="AA15" s="35">
        <f>160+65</f>
        <v>225</v>
      </c>
      <c r="AB15" s="35">
        <f>77+55</f>
        <v>132</v>
      </c>
      <c r="AC15" s="35">
        <f>74+63</f>
        <v>137</v>
      </c>
      <c r="AD15" s="33">
        <f t="shared" si="8"/>
        <v>23107.5</v>
      </c>
      <c r="AE15" s="33">
        <f t="shared" si="9"/>
        <v>10758</v>
      </c>
      <c r="AF15" s="33">
        <f t="shared" si="10"/>
        <v>9110.5</v>
      </c>
      <c r="AG15" s="33">
        <f t="shared" si="3"/>
        <v>494</v>
      </c>
      <c r="AH15" s="33">
        <f t="shared" si="4"/>
        <v>42976</v>
      </c>
      <c r="AI15" s="34">
        <f t="shared" si="11"/>
        <v>86.995951417004051</v>
      </c>
    </row>
    <row r="16" spans="1:35" ht="13.5" customHeight="1" x14ac:dyDescent="0.2">
      <c r="A16" s="17"/>
      <c r="C16" s="29">
        <v>5</v>
      </c>
      <c r="D16" s="1" t="s">
        <v>26</v>
      </c>
      <c r="E16" s="18">
        <v>103.8</v>
      </c>
      <c r="F16" s="18">
        <v>76.5</v>
      </c>
      <c r="G16" s="18">
        <v>71.400000000000006</v>
      </c>
      <c r="I16" s="18">
        <f t="shared" si="5"/>
        <v>83.289562764456988</v>
      </c>
      <c r="J16" s="42">
        <f t="shared" si="6"/>
        <v>4.8921497084335019E-2</v>
      </c>
      <c r="K16" s="16"/>
      <c r="M16" s="35">
        <f>164+51</f>
        <v>215</v>
      </c>
      <c r="N16" s="35">
        <f>181+106</f>
        <v>287</v>
      </c>
      <c r="O16" s="35">
        <f>119+88</f>
        <v>207</v>
      </c>
      <c r="P16" s="33">
        <f t="shared" si="0"/>
        <v>22317</v>
      </c>
      <c r="Q16" s="33">
        <f t="shared" si="0"/>
        <v>21955.5</v>
      </c>
      <c r="R16" s="33">
        <f t="shared" si="0"/>
        <v>14779.800000000001</v>
      </c>
      <c r="S16" s="33">
        <f t="shared" si="1"/>
        <v>709</v>
      </c>
      <c r="T16" s="33">
        <f t="shared" si="2"/>
        <v>59052.3</v>
      </c>
      <c r="U16" s="34">
        <f t="shared" si="7"/>
        <v>83.289562764456988</v>
      </c>
      <c r="W16" s="1" t="s">
        <v>26</v>
      </c>
      <c r="X16" s="18">
        <v>98.1</v>
      </c>
      <c r="Y16" s="18">
        <v>73.400000000000006</v>
      </c>
      <c r="Z16" s="18">
        <v>68.2</v>
      </c>
      <c r="AA16" s="35">
        <f>155+41</f>
        <v>196</v>
      </c>
      <c r="AB16" s="35">
        <f>171+94</f>
        <v>265</v>
      </c>
      <c r="AC16" s="35">
        <f>114+71</f>
        <v>185</v>
      </c>
      <c r="AD16" s="33">
        <f t="shared" si="8"/>
        <v>19227.599999999999</v>
      </c>
      <c r="AE16" s="33">
        <f t="shared" si="9"/>
        <v>19451</v>
      </c>
      <c r="AF16" s="33">
        <f t="shared" si="10"/>
        <v>12617</v>
      </c>
      <c r="AG16" s="33">
        <f t="shared" si="3"/>
        <v>646</v>
      </c>
      <c r="AH16" s="33">
        <f t="shared" si="4"/>
        <v>51295.6</v>
      </c>
      <c r="AI16" s="34">
        <f t="shared" si="11"/>
        <v>79.40495356037151</v>
      </c>
    </row>
    <row r="17" spans="1:35" ht="13.5" customHeight="1" x14ac:dyDescent="0.2">
      <c r="A17" s="17"/>
      <c r="C17" s="29">
        <v>6</v>
      </c>
      <c r="D17" s="1" t="s">
        <v>27</v>
      </c>
      <c r="E17" s="18">
        <v>116.5</v>
      </c>
      <c r="F17" s="18">
        <v>74</v>
      </c>
      <c r="G17" s="18">
        <v>62.3</v>
      </c>
      <c r="I17" s="18">
        <f t="shared" si="5"/>
        <v>80.790781796966158</v>
      </c>
      <c r="J17" s="42">
        <f t="shared" si="6"/>
        <v>4.9676723613762297E-2</v>
      </c>
      <c r="K17" s="16"/>
      <c r="M17" s="35">
        <f>178+44</f>
        <v>222</v>
      </c>
      <c r="N17" s="35">
        <f>178+148</f>
        <v>326</v>
      </c>
      <c r="O17" s="35">
        <f>139+170</f>
        <v>309</v>
      </c>
      <c r="P17" s="33">
        <f t="shared" si="0"/>
        <v>25863</v>
      </c>
      <c r="Q17" s="33">
        <f t="shared" si="0"/>
        <v>24124</v>
      </c>
      <c r="R17" s="33">
        <f t="shared" si="0"/>
        <v>19250.7</v>
      </c>
      <c r="S17" s="33">
        <f t="shared" si="1"/>
        <v>857</v>
      </c>
      <c r="T17" s="33">
        <f t="shared" si="2"/>
        <v>69237.7</v>
      </c>
      <c r="U17" s="34">
        <f t="shared" si="7"/>
        <v>80.790781796966158</v>
      </c>
      <c r="W17" s="1" t="s">
        <v>27</v>
      </c>
      <c r="X17" s="18">
        <v>111.5</v>
      </c>
      <c r="Y17" s="18">
        <v>69.2</v>
      </c>
      <c r="Z17" s="18">
        <v>60.2</v>
      </c>
      <c r="AA17" s="35">
        <f>180+42</f>
        <v>222</v>
      </c>
      <c r="AB17" s="35">
        <f>160+147</f>
        <v>307</v>
      </c>
      <c r="AC17" s="35">
        <f>143+172</f>
        <v>315</v>
      </c>
      <c r="AD17" s="33">
        <f t="shared" si="8"/>
        <v>24753</v>
      </c>
      <c r="AE17" s="33">
        <f t="shared" si="9"/>
        <v>21244.400000000001</v>
      </c>
      <c r="AF17" s="33">
        <f t="shared" si="10"/>
        <v>18963</v>
      </c>
      <c r="AG17" s="33">
        <f t="shared" si="3"/>
        <v>844</v>
      </c>
      <c r="AH17" s="33">
        <f t="shared" si="4"/>
        <v>64960.4</v>
      </c>
      <c r="AI17" s="34">
        <f t="shared" si="11"/>
        <v>76.967298578199049</v>
      </c>
    </row>
    <row r="18" spans="1:35" ht="13.5" customHeight="1" x14ac:dyDescent="0.2">
      <c r="A18" s="17"/>
      <c r="C18" s="29">
        <v>7</v>
      </c>
      <c r="D18" s="1" t="s">
        <v>28</v>
      </c>
      <c r="E18" s="18">
        <v>113.9</v>
      </c>
      <c r="F18" s="18">
        <v>76.599999999999994</v>
      </c>
      <c r="G18" s="18">
        <v>76</v>
      </c>
      <c r="I18" s="18">
        <f t="shared" si="5"/>
        <v>93.18705612829325</v>
      </c>
      <c r="J18" s="42">
        <f t="shared" si="6"/>
        <v>5.8344539842856591E-2</v>
      </c>
      <c r="K18" s="16"/>
      <c r="M18" s="35">
        <f>328+63</f>
        <v>391</v>
      </c>
      <c r="N18" s="35">
        <f>201+108</f>
        <v>309</v>
      </c>
      <c r="O18" s="35">
        <f>105+68</f>
        <v>173</v>
      </c>
      <c r="P18" s="33">
        <f t="shared" si="0"/>
        <v>44534.9</v>
      </c>
      <c r="Q18" s="33">
        <f t="shared" si="0"/>
        <v>23669.399999999998</v>
      </c>
      <c r="R18" s="33">
        <f t="shared" si="0"/>
        <v>13148</v>
      </c>
      <c r="S18" s="33">
        <f t="shared" si="1"/>
        <v>873</v>
      </c>
      <c r="T18" s="33">
        <f t="shared" si="2"/>
        <v>81352.3</v>
      </c>
      <c r="U18" s="34">
        <f t="shared" si="7"/>
        <v>93.18705612829325</v>
      </c>
      <c r="W18" s="1" t="s">
        <v>28</v>
      </c>
      <c r="X18" s="18">
        <v>108.4</v>
      </c>
      <c r="Y18" s="18">
        <v>72.7</v>
      </c>
      <c r="Z18" s="18">
        <v>71.3</v>
      </c>
      <c r="AA18" s="35">
        <f>327+58</f>
        <v>385</v>
      </c>
      <c r="AB18" s="35">
        <f>210+104</f>
        <v>314</v>
      </c>
      <c r="AC18" s="35">
        <f>105+75</f>
        <v>180</v>
      </c>
      <c r="AD18" s="33">
        <f t="shared" si="8"/>
        <v>41734</v>
      </c>
      <c r="AE18" s="33">
        <f t="shared" si="9"/>
        <v>22827.8</v>
      </c>
      <c r="AF18" s="33">
        <f t="shared" si="10"/>
        <v>12834</v>
      </c>
      <c r="AG18" s="33">
        <f t="shared" si="3"/>
        <v>879</v>
      </c>
      <c r="AH18" s="33">
        <f t="shared" si="4"/>
        <v>77395.8</v>
      </c>
      <c r="AI18" s="34">
        <f t="shared" si="11"/>
        <v>88.049829351535834</v>
      </c>
    </row>
    <row r="19" spans="1:35" ht="13.5" customHeight="1" x14ac:dyDescent="0.2">
      <c r="A19" s="17"/>
      <c r="C19" s="29">
        <v>8</v>
      </c>
      <c r="D19" s="1" t="s">
        <v>29</v>
      </c>
      <c r="E19" s="18">
        <v>115.6</v>
      </c>
      <c r="F19" s="18">
        <v>82.5</v>
      </c>
      <c r="G19" s="18">
        <v>71.5</v>
      </c>
      <c r="I19" s="18">
        <f t="shared" si="5"/>
        <v>91.972268041237115</v>
      </c>
      <c r="J19" s="42">
        <f t="shared" si="6"/>
        <v>4.146725146713881E-2</v>
      </c>
      <c r="K19" s="16"/>
      <c r="M19" s="35">
        <f>269+92</f>
        <v>361</v>
      </c>
      <c r="N19" s="35">
        <f>226+132</f>
        <v>358</v>
      </c>
      <c r="O19" s="35">
        <f>108+143</f>
        <v>251</v>
      </c>
      <c r="P19" s="33">
        <f t="shared" si="0"/>
        <v>41731.599999999999</v>
      </c>
      <c r="Q19" s="33">
        <f t="shared" si="0"/>
        <v>29535</v>
      </c>
      <c r="R19" s="33">
        <f t="shared" si="0"/>
        <v>17946.5</v>
      </c>
      <c r="S19" s="33">
        <f t="shared" si="1"/>
        <v>970</v>
      </c>
      <c r="T19" s="33">
        <f t="shared" si="2"/>
        <v>89213.1</v>
      </c>
      <c r="U19" s="34">
        <f t="shared" si="7"/>
        <v>91.972268041237115</v>
      </c>
      <c r="W19" s="1" t="s">
        <v>29</v>
      </c>
      <c r="X19" s="18">
        <v>110.7</v>
      </c>
      <c r="Y19" s="18">
        <v>79.3</v>
      </c>
      <c r="Z19" s="18">
        <v>68.400000000000006</v>
      </c>
      <c r="AA19" s="35">
        <f>264+90</f>
        <v>354</v>
      </c>
      <c r="AB19" s="35">
        <f>231+136</f>
        <v>367</v>
      </c>
      <c r="AC19" s="35">
        <f>100+132</f>
        <v>232</v>
      </c>
      <c r="AD19" s="33">
        <f t="shared" si="8"/>
        <v>39187.800000000003</v>
      </c>
      <c r="AE19" s="33">
        <f t="shared" si="9"/>
        <v>29103.1</v>
      </c>
      <c r="AF19" s="33">
        <f t="shared" si="10"/>
        <v>15868.800000000001</v>
      </c>
      <c r="AG19" s="33">
        <f t="shared" si="3"/>
        <v>953</v>
      </c>
      <c r="AH19" s="33">
        <f t="shared" si="4"/>
        <v>84159.7</v>
      </c>
      <c r="AI19" s="34">
        <f t="shared" si="11"/>
        <v>88.3102833158447</v>
      </c>
    </row>
    <row r="20" spans="1:35" ht="13.5" customHeight="1" x14ac:dyDescent="0.2">
      <c r="A20" s="17"/>
      <c r="C20" s="29">
        <v>9</v>
      </c>
      <c r="D20" s="1" t="s">
        <v>30</v>
      </c>
      <c r="E20" s="18">
        <v>94.7</v>
      </c>
      <c r="F20" s="18">
        <v>73.900000000000006</v>
      </c>
      <c r="G20" s="18">
        <v>59.9</v>
      </c>
      <c r="I20" s="18">
        <f t="shared" si="5"/>
        <v>75.221293800539087</v>
      </c>
      <c r="J20" s="42">
        <f t="shared" si="6"/>
        <v>2.8827840785198067E-2</v>
      </c>
      <c r="K20" s="16"/>
      <c r="M20" s="35">
        <f>152+56</f>
        <v>208</v>
      </c>
      <c r="N20" s="35">
        <f>155+140</f>
        <v>295</v>
      </c>
      <c r="O20" s="35">
        <f>118+121</f>
        <v>239</v>
      </c>
      <c r="P20" s="33">
        <f t="shared" si="0"/>
        <v>19697.600000000002</v>
      </c>
      <c r="Q20" s="33">
        <f t="shared" si="0"/>
        <v>21800.5</v>
      </c>
      <c r="R20" s="33">
        <f t="shared" si="0"/>
        <v>14316.1</v>
      </c>
      <c r="S20" s="33">
        <f t="shared" si="1"/>
        <v>742</v>
      </c>
      <c r="T20" s="33">
        <f t="shared" si="2"/>
        <v>55814.200000000004</v>
      </c>
      <c r="U20" s="34">
        <f t="shared" si="7"/>
        <v>75.221293800539087</v>
      </c>
      <c r="W20" s="1" t="s">
        <v>30</v>
      </c>
      <c r="X20" s="18">
        <v>93.3</v>
      </c>
      <c r="Y20" s="18">
        <v>71.5</v>
      </c>
      <c r="Z20" s="18">
        <v>58.5</v>
      </c>
      <c r="AA20" s="35">
        <f>145+52</f>
        <v>197</v>
      </c>
      <c r="AB20" s="35">
        <f>165+135</f>
        <v>300</v>
      </c>
      <c r="AC20" s="35">
        <f>126+113</f>
        <v>239</v>
      </c>
      <c r="AD20" s="33">
        <f t="shared" si="8"/>
        <v>18380.099999999999</v>
      </c>
      <c r="AE20" s="33">
        <f t="shared" si="9"/>
        <v>21450</v>
      </c>
      <c r="AF20" s="33">
        <f t="shared" si="10"/>
        <v>13981.5</v>
      </c>
      <c r="AG20" s="33">
        <f t="shared" si="3"/>
        <v>736</v>
      </c>
      <c r="AH20" s="33">
        <f t="shared" si="4"/>
        <v>53811.6</v>
      </c>
      <c r="AI20" s="34">
        <f t="shared" si="11"/>
        <v>73.113586956521743</v>
      </c>
    </row>
    <row r="21" spans="1:35" ht="13.5" customHeight="1" x14ac:dyDescent="0.2">
      <c r="A21" s="17"/>
      <c r="C21" s="29">
        <v>10</v>
      </c>
      <c r="D21" s="1" t="s">
        <v>31</v>
      </c>
      <c r="E21" s="18">
        <v>109.1</v>
      </c>
      <c r="F21" s="18">
        <v>85.8</v>
      </c>
      <c r="G21" s="18">
        <v>68.3</v>
      </c>
      <c r="I21" s="18">
        <f t="shared" si="5"/>
        <v>87.623387096774181</v>
      </c>
      <c r="J21" s="42">
        <f t="shared" si="6"/>
        <v>3.401472512464454E-2</v>
      </c>
      <c r="K21" s="16"/>
      <c r="M21" s="35">
        <f>82+44</f>
        <v>126</v>
      </c>
      <c r="N21" s="35">
        <f>59+58</f>
        <v>117</v>
      </c>
      <c r="O21" s="35">
        <f>65+64</f>
        <v>129</v>
      </c>
      <c r="P21" s="33">
        <f t="shared" si="0"/>
        <v>13746.599999999999</v>
      </c>
      <c r="Q21" s="33">
        <f t="shared" si="0"/>
        <v>10038.6</v>
      </c>
      <c r="R21" s="33">
        <f t="shared" si="0"/>
        <v>8810.6999999999989</v>
      </c>
      <c r="S21" s="33">
        <f t="shared" si="1"/>
        <v>372</v>
      </c>
      <c r="T21" s="33">
        <f t="shared" si="2"/>
        <v>32595.899999999994</v>
      </c>
      <c r="U21" s="34">
        <f t="shared" si="7"/>
        <v>87.623387096774181</v>
      </c>
      <c r="W21" s="1" t="s">
        <v>31</v>
      </c>
      <c r="X21" s="18">
        <v>105.9</v>
      </c>
      <c r="Y21" s="18">
        <v>84.4</v>
      </c>
      <c r="Z21" s="18">
        <v>65.2</v>
      </c>
      <c r="AA21" s="35">
        <f>80+40</f>
        <v>120</v>
      </c>
      <c r="AB21" s="35">
        <f>57+54</f>
        <v>111</v>
      </c>
      <c r="AC21" s="35">
        <f>58+70</f>
        <v>128</v>
      </c>
      <c r="AD21" s="33">
        <f t="shared" si="8"/>
        <v>12708</v>
      </c>
      <c r="AE21" s="33">
        <f t="shared" si="9"/>
        <v>9368.4000000000015</v>
      </c>
      <c r="AF21" s="33">
        <f t="shared" si="10"/>
        <v>8345.6</v>
      </c>
      <c r="AG21" s="33">
        <f t="shared" si="3"/>
        <v>359</v>
      </c>
      <c r="AH21" s="33">
        <f t="shared" si="4"/>
        <v>30422</v>
      </c>
      <c r="AI21" s="34">
        <f t="shared" si="11"/>
        <v>84.740947075208908</v>
      </c>
    </row>
    <row r="22" spans="1:35" ht="13.5" customHeight="1" x14ac:dyDescent="0.2">
      <c r="A22" s="17"/>
      <c r="C22" s="29">
        <v>11</v>
      </c>
      <c r="D22" s="1" t="s">
        <v>32</v>
      </c>
      <c r="E22" s="18">
        <v>94.6</v>
      </c>
      <c r="F22" s="18">
        <v>68.5</v>
      </c>
      <c r="G22" s="18">
        <v>58.6</v>
      </c>
      <c r="I22" s="18">
        <f t="shared" si="5"/>
        <v>74.171467391304347</v>
      </c>
      <c r="J22" s="42">
        <f t="shared" si="6"/>
        <v>2.0983408870549614E-2</v>
      </c>
      <c r="K22" s="16"/>
      <c r="M22" s="35">
        <f>205+49</f>
        <v>254</v>
      </c>
      <c r="N22" s="35">
        <f>144+90</f>
        <v>234</v>
      </c>
      <c r="O22" s="35">
        <f>115+133</f>
        <v>248</v>
      </c>
      <c r="P22" s="33">
        <f t="shared" si="0"/>
        <v>24028.399999999998</v>
      </c>
      <c r="Q22" s="33">
        <f t="shared" si="0"/>
        <v>16029</v>
      </c>
      <c r="R22" s="33">
        <f t="shared" si="0"/>
        <v>14532.800000000001</v>
      </c>
      <c r="S22" s="33">
        <f t="shared" si="1"/>
        <v>736</v>
      </c>
      <c r="T22" s="33">
        <f t="shared" si="2"/>
        <v>54590.2</v>
      </c>
      <c r="U22" s="34">
        <f t="shared" si="7"/>
        <v>74.171467391304347</v>
      </c>
      <c r="W22" s="1" t="s">
        <v>32</v>
      </c>
      <c r="X22" s="18">
        <v>91.7</v>
      </c>
      <c r="Y22" s="18">
        <v>67.900000000000006</v>
      </c>
      <c r="Z22" s="18">
        <v>57.3</v>
      </c>
      <c r="AA22" s="35">
        <f>201+47</f>
        <v>248</v>
      </c>
      <c r="AB22" s="35">
        <f>137+76</f>
        <v>213</v>
      </c>
      <c r="AC22" s="35">
        <f>123+119</f>
        <v>242</v>
      </c>
      <c r="AD22" s="33">
        <f t="shared" si="8"/>
        <v>22741.600000000002</v>
      </c>
      <c r="AE22" s="33">
        <f t="shared" si="9"/>
        <v>14462.7</v>
      </c>
      <c r="AF22" s="33">
        <f t="shared" si="10"/>
        <v>13866.599999999999</v>
      </c>
      <c r="AG22" s="33">
        <f t="shared" si="3"/>
        <v>703</v>
      </c>
      <c r="AH22" s="33">
        <f t="shared" si="4"/>
        <v>51070.9</v>
      </c>
      <c r="AI22" s="34">
        <f t="shared" si="11"/>
        <v>72.6470839260313</v>
      </c>
    </row>
    <row r="23" spans="1:35" ht="13.5" customHeight="1" x14ac:dyDescent="0.2">
      <c r="A23" s="17"/>
      <c r="C23" s="29">
        <v>12</v>
      </c>
      <c r="D23" s="22" t="s">
        <v>33</v>
      </c>
      <c r="E23" s="23">
        <v>101.7</v>
      </c>
      <c r="F23" s="23">
        <v>72.2</v>
      </c>
      <c r="G23" s="23">
        <v>59.9</v>
      </c>
      <c r="H23" s="22"/>
      <c r="I23" s="23">
        <f t="shared" si="5"/>
        <v>75.279926335174949</v>
      </c>
      <c r="J23" s="44">
        <f t="shared" si="6"/>
        <v>4.3474403719687915E-2</v>
      </c>
      <c r="K23" s="16"/>
      <c r="M23" s="35">
        <v>143</v>
      </c>
      <c r="N23" s="35">
        <v>193</v>
      </c>
      <c r="O23" s="35">
        <v>207</v>
      </c>
      <c r="P23" s="33">
        <f t="shared" si="0"/>
        <v>14543.1</v>
      </c>
      <c r="Q23" s="33">
        <f t="shared" si="0"/>
        <v>13934.6</v>
      </c>
      <c r="R23" s="33">
        <f t="shared" si="0"/>
        <v>12399.3</v>
      </c>
      <c r="S23" s="33">
        <f t="shared" si="1"/>
        <v>543</v>
      </c>
      <c r="T23" s="33">
        <f t="shared" si="2"/>
        <v>40877</v>
      </c>
      <c r="U23" s="34">
        <f t="shared" si="7"/>
        <v>75.279926335174949</v>
      </c>
      <c r="W23" s="22" t="s">
        <v>33</v>
      </c>
      <c r="X23" s="23">
        <v>98.2</v>
      </c>
      <c r="Y23" s="23">
        <v>67.900000000000006</v>
      </c>
      <c r="Z23" s="23">
        <v>56.8</v>
      </c>
      <c r="AA23" s="35">
        <f>107+30</f>
        <v>137</v>
      </c>
      <c r="AB23" s="35">
        <f>112+82</f>
        <v>194</v>
      </c>
      <c r="AC23" s="35">
        <f>102+77</f>
        <v>179</v>
      </c>
      <c r="AD23" s="33">
        <f t="shared" si="8"/>
        <v>13453.4</v>
      </c>
      <c r="AE23" s="33">
        <f t="shared" si="9"/>
        <v>13172.6</v>
      </c>
      <c r="AF23" s="33">
        <f t="shared" si="10"/>
        <v>10167.199999999999</v>
      </c>
      <c r="AG23" s="33">
        <f t="shared" si="3"/>
        <v>510</v>
      </c>
      <c r="AH23" s="33">
        <f t="shared" si="4"/>
        <v>36793.199999999997</v>
      </c>
      <c r="AI23" s="34">
        <f t="shared" si="11"/>
        <v>72.143529411764703</v>
      </c>
    </row>
    <row r="24" spans="1:35" ht="13.5" customHeight="1" x14ac:dyDescent="0.2">
      <c r="A24" s="17"/>
      <c r="C24" s="29">
        <v>13</v>
      </c>
      <c r="D24" s="22" t="s">
        <v>34</v>
      </c>
      <c r="E24" s="23">
        <v>89.5</v>
      </c>
      <c r="F24" s="23">
        <v>64.400000000000006</v>
      </c>
      <c r="G24" s="23">
        <v>56.4</v>
      </c>
      <c r="H24" s="22"/>
      <c r="I24" s="23">
        <f t="shared" si="5"/>
        <v>68.769711538461536</v>
      </c>
      <c r="J24" s="44">
        <f t="shared" si="6"/>
        <v>-2.8891547108888416E-2</v>
      </c>
      <c r="K24" s="16"/>
      <c r="M24" s="35">
        <v>118</v>
      </c>
      <c r="N24" s="35">
        <v>155</v>
      </c>
      <c r="O24" s="35">
        <v>143</v>
      </c>
      <c r="P24" s="33">
        <f t="shared" si="0"/>
        <v>10561</v>
      </c>
      <c r="Q24" s="33">
        <f t="shared" si="0"/>
        <v>9982</v>
      </c>
      <c r="R24" s="33">
        <f t="shared" si="0"/>
        <v>8065.2</v>
      </c>
      <c r="S24" s="33">
        <f t="shared" si="1"/>
        <v>416</v>
      </c>
      <c r="T24" s="33">
        <f t="shared" si="2"/>
        <v>28608.2</v>
      </c>
      <c r="U24" s="34">
        <f t="shared" si="7"/>
        <v>68.769711538461536</v>
      </c>
      <c r="W24" s="22" t="s">
        <v>34</v>
      </c>
      <c r="X24" s="23">
        <v>90.3</v>
      </c>
      <c r="Y24" s="23">
        <v>66.5</v>
      </c>
      <c r="Z24" s="23">
        <v>57.4</v>
      </c>
      <c r="AA24" s="35">
        <f>82+29</f>
        <v>111</v>
      </c>
      <c r="AB24" s="35">
        <f>73+52</f>
        <v>125</v>
      </c>
      <c r="AC24" s="35">
        <f>48+73</f>
        <v>121</v>
      </c>
      <c r="AD24" s="33">
        <f t="shared" si="8"/>
        <v>10023.299999999999</v>
      </c>
      <c r="AE24" s="33">
        <f t="shared" si="9"/>
        <v>8312.5</v>
      </c>
      <c r="AF24" s="33">
        <f t="shared" si="10"/>
        <v>6945.4</v>
      </c>
      <c r="AG24" s="33">
        <f t="shared" si="3"/>
        <v>357</v>
      </c>
      <c r="AH24" s="33">
        <f t="shared" si="4"/>
        <v>25281.199999999997</v>
      </c>
      <c r="AI24" s="34">
        <f t="shared" si="11"/>
        <v>70.815686274509801</v>
      </c>
    </row>
    <row r="25" spans="1:35" ht="13.5" customHeight="1" x14ac:dyDescent="0.2">
      <c r="A25" s="17"/>
      <c r="C25" s="29">
        <v>14</v>
      </c>
      <c r="D25" s="1" t="s">
        <v>35</v>
      </c>
      <c r="E25" s="18">
        <v>85.6</v>
      </c>
      <c r="F25" s="18">
        <v>67.8</v>
      </c>
      <c r="G25" s="18">
        <v>59</v>
      </c>
      <c r="I25" s="18">
        <f t="shared" si="5"/>
        <v>73.834394904458605</v>
      </c>
      <c r="J25" s="42">
        <f t="shared" si="6"/>
        <v>6.4117157212504994E-2</v>
      </c>
      <c r="K25" s="16"/>
      <c r="M25" s="35">
        <f>113+33</f>
        <v>146</v>
      </c>
      <c r="N25" s="35">
        <f>57+31</f>
        <v>88</v>
      </c>
      <c r="O25" s="35">
        <f>50+30</f>
        <v>80</v>
      </c>
      <c r="P25" s="33">
        <f t="shared" si="0"/>
        <v>12497.599999999999</v>
      </c>
      <c r="Q25" s="33">
        <f t="shared" si="0"/>
        <v>5966.4</v>
      </c>
      <c r="R25" s="33">
        <f t="shared" si="0"/>
        <v>4720</v>
      </c>
      <c r="S25" s="33">
        <f t="shared" si="1"/>
        <v>314</v>
      </c>
      <c r="T25" s="33">
        <f t="shared" si="2"/>
        <v>23184</v>
      </c>
      <c r="U25" s="34">
        <f t="shared" si="7"/>
        <v>73.834394904458605</v>
      </c>
      <c r="W25" s="1" t="s">
        <v>35</v>
      </c>
      <c r="X25" s="18">
        <v>80.599999999999994</v>
      </c>
      <c r="Y25" s="18">
        <v>62.4</v>
      </c>
      <c r="Z25" s="18">
        <v>56.7</v>
      </c>
      <c r="AA25" s="35">
        <f>124+35</f>
        <v>159</v>
      </c>
      <c r="AB25" s="35">
        <f>53+37</f>
        <v>90</v>
      </c>
      <c r="AC25" s="35">
        <f>53+38</f>
        <v>91</v>
      </c>
      <c r="AD25" s="33">
        <f t="shared" si="8"/>
        <v>12815.4</v>
      </c>
      <c r="AE25" s="33">
        <f t="shared" si="9"/>
        <v>5616</v>
      </c>
      <c r="AF25" s="33">
        <f t="shared" si="10"/>
        <v>5159.7</v>
      </c>
      <c r="AG25" s="33">
        <f t="shared" si="3"/>
        <v>340</v>
      </c>
      <c r="AH25" s="33">
        <f t="shared" si="4"/>
        <v>23591.100000000002</v>
      </c>
      <c r="AI25" s="34">
        <f t="shared" si="11"/>
        <v>69.385588235294122</v>
      </c>
    </row>
    <row r="26" spans="1:35" ht="13.5" customHeight="1" x14ac:dyDescent="0.2">
      <c r="A26" s="17"/>
      <c r="C26" s="29">
        <v>15</v>
      </c>
      <c r="D26" s="1" t="s">
        <v>7</v>
      </c>
      <c r="E26" s="18">
        <v>121.9</v>
      </c>
      <c r="F26" s="18">
        <v>80.400000000000006</v>
      </c>
      <c r="G26" s="18">
        <v>67.7</v>
      </c>
      <c r="I26" s="18">
        <f t="shared" si="5"/>
        <v>90.206267605633798</v>
      </c>
      <c r="J26" s="42">
        <f t="shared" si="6"/>
        <v>1.9826891618305087E-2</v>
      </c>
      <c r="K26" s="16"/>
      <c r="M26" s="35">
        <f>379+112</f>
        <v>491</v>
      </c>
      <c r="N26" s="35">
        <f>284+137</f>
        <v>421</v>
      </c>
      <c r="O26" s="35">
        <f>243+265</f>
        <v>508</v>
      </c>
      <c r="P26" s="33">
        <f t="shared" si="0"/>
        <v>59852.9</v>
      </c>
      <c r="Q26" s="33">
        <f t="shared" si="0"/>
        <v>33848.400000000001</v>
      </c>
      <c r="R26" s="33">
        <f t="shared" si="0"/>
        <v>34391.599999999999</v>
      </c>
      <c r="S26" s="33">
        <f t="shared" si="1"/>
        <v>1420</v>
      </c>
      <c r="T26" s="33">
        <f t="shared" si="2"/>
        <v>128092.9</v>
      </c>
      <c r="U26" s="34">
        <f t="shared" si="7"/>
        <v>90.206267605633798</v>
      </c>
      <c r="W26" s="1" t="s">
        <v>7</v>
      </c>
      <c r="X26" s="18">
        <v>119.5</v>
      </c>
      <c r="Y26" s="18">
        <v>78.2</v>
      </c>
      <c r="Z26" s="18">
        <v>66.400000000000006</v>
      </c>
      <c r="AA26" s="35">
        <f>373+110</f>
        <v>483</v>
      </c>
      <c r="AB26" s="35">
        <f>279+134</f>
        <v>413</v>
      </c>
      <c r="AC26" s="35">
        <f>245+243</f>
        <v>488</v>
      </c>
      <c r="AD26" s="33">
        <f t="shared" si="8"/>
        <v>57718.5</v>
      </c>
      <c r="AE26" s="33">
        <f t="shared" si="9"/>
        <v>32296.600000000002</v>
      </c>
      <c r="AF26" s="33">
        <f t="shared" si="10"/>
        <v>32403.200000000004</v>
      </c>
      <c r="AG26" s="33">
        <f t="shared" si="3"/>
        <v>1384</v>
      </c>
      <c r="AH26" s="33">
        <f t="shared" si="4"/>
        <v>122418.30000000002</v>
      </c>
      <c r="AI26" s="34">
        <f t="shared" si="11"/>
        <v>88.452528901734112</v>
      </c>
    </row>
    <row r="27" spans="1:35" ht="13.5" customHeight="1" x14ac:dyDescent="0.2">
      <c r="A27" s="17"/>
      <c r="C27" s="29">
        <v>16</v>
      </c>
      <c r="D27" s="1" t="s">
        <v>36</v>
      </c>
      <c r="E27" s="18">
        <v>83.6</v>
      </c>
      <c r="F27" s="18">
        <v>65.099999999999994</v>
      </c>
      <c r="G27" s="18">
        <v>52.7</v>
      </c>
      <c r="I27" s="18">
        <f t="shared" si="5"/>
        <v>67.941392649903278</v>
      </c>
      <c r="J27" s="42">
        <f t="shared" si="6"/>
        <v>4.047765826778793E-3</v>
      </c>
      <c r="K27" s="16"/>
      <c r="M27" s="35">
        <f>140+50</f>
        <v>190</v>
      </c>
      <c r="N27" s="35">
        <f>92+70</f>
        <v>162</v>
      </c>
      <c r="O27" s="35">
        <f>87+78</f>
        <v>165</v>
      </c>
      <c r="P27" s="33">
        <f t="shared" si="0"/>
        <v>15883.999999999998</v>
      </c>
      <c r="Q27" s="33">
        <f t="shared" si="0"/>
        <v>10546.199999999999</v>
      </c>
      <c r="R27" s="33">
        <f t="shared" si="0"/>
        <v>8695.5</v>
      </c>
      <c r="S27" s="33">
        <f t="shared" si="1"/>
        <v>517</v>
      </c>
      <c r="T27" s="33">
        <f t="shared" si="2"/>
        <v>35125.699999999997</v>
      </c>
      <c r="U27" s="34">
        <f t="shared" si="7"/>
        <v>67.941392649903278</v>
      </c>
      <c r="W27" s="1" t="s">
        <v>36</v>
      </c>
      <c r="X27" s="18">
        <v>83</v>
      </c>
      <c r="Y27" s="18">
        <v>65.3</v>
      </c>
      <c r="Z27" s="18">
        <v>54.2</v>
      </c>
      <c r="AA27" s="35">
        <f>142+45</f>
        <v>187</v>
      </c>
      <c r="AB27" s="35">
        <f>87+66</f>
        <v>153</v>
      </c>
      <c r="AC27" s="35">
        <f>102+84</f>
        <v>186</v>
      </c>
      <c r="AD27" s="33">
        <f t="shared" si="8"/>
        <v>15521</v>
      </c>
      <c r="AE27" s="33">
        <f t="shared" si="9"/>
        <v>9990.9</v>
      </c>
      <c r="AF27" s="33">
        <f t="shared" si="10"/>
        <v>10081.200000000001</v>
      </c>
      <c r="AG27" s="33">
        <f t="shared" si="3"/>
        <v>526</v>
      </c>
      <c r="AH27" s="33">
        <f t="shared" si="4"/>
        <v>35593.100000000006</v>
      </c>
      <c r="AI27" s="34">
        <f t="shared" si="11"/>
        <v>67.667490494296587</v>
      </c>
    </row>
    <row r="28" spans="1:35" ht="13.5" customHeight="1" x14ac:dyDescent="0.2">
      <c r="A28" s="17"/>
      <c r="C28" s="29">
        <v>17</v>
      </c>
      <c r="D28" s="1" t="s">
        <v>37</v>
      </c>
      <c r="E28" s="18">
        <v>121.6</v>
      </c>
      <c r="F28" s="18">
        <v>89.5</v>
      </c>
      <c r="G28" s="18">
        <v>72</v>
      </c>
      <c r="I28" s="18">
        <f t="shared" si="5"/>
        <v>99.75418875927889</v>
      </c>
      <c r="J28" s="42">
        <f t="shared" si="6"/>
        <v>3.8718446192674394E-2</v>
      </c>
      <c r="K28" s="16"/>
      <c r="M28" s="35">
        <f>314+93</f>
        <v>407</v>
      </c>
      <c r="N28" s="35">
        <f>204+138</f>
        <v>342</v>
      </c>
      <c r="O28" s="35">
        <f>101+93</f>
        <v>194</v>
      </c>
      <c r="P28" s="33">
        <f t="shared" si="0"/>
        <v>49491.199999999997</v>
      </c>
      <c r="Q28" s="33">
        <f t="shared" si="0"/>
        <v>30609</v>
      </c>
      <c r="R28" s="33">
        <f t="shared" si="0"/>
        <v>13968</v>
      </c>
      <c r="S28" s="33">
        <f t="shared" si="1"/>
        <v>943</v>
      </c>
      <c r="T28" s="33">
        <f t="shared" si="2"/>
        <v>94068.2</v>
      </c>
      <c r="U28" s="34">
        <f t="shared" si="7"/>
        <v>99.75418875927889</v>
      </c>
      <c r="W28" s="1" t="s">
        <v>37</v>
      </c>
      <c r="X28" s="18">
        <v>117.7</v>
      </c>
      <c r="Y28" s="18">
        <v>85.6</v>
      </c>
      <c r="Z28" s="18">
        <v>69.099999999999994</v>
      </c>
      <c r="AA28" s="35">
        <f>302+92</f>
        <v>394</v>
      </c>
      <c r="AB28" s="35">
        <f>208+135</f>
        <v>343</v>
      </c>
      <c r="AC28" s="35">
        <f>89+95</f>
        <v>184</v>
      </c>
      <c r="AD28" s="33">
        <f t="shared" si="8"/>
        <v>46373.8</v>
      </c>
      <c r="AE28" s="33">
        <f t="shared" si="9"/>
        <v>29360.799999999999</v>
      </c>
      <c r="AF28" s="33">
        <f t="shared" si="10"/>
        <v>12714.4</v>
      </c>
      <c r="AG28" s="33">
        <f t="shared" si="3"/>
        <v>921</v>
      </c>
      <c r="AH28" s="33">
        <f t="shared" si="4"/>
        <v>88449</v>
      </c>
      <c r="AI28" s="34">
        <f t="shared" si="11"/>
        <v>96.035830618892504</v>
      </c>
    </row>
    <row r="29" spans="1:35" ht="13.5" customHeight="1" x14ac:dyDescent="0.2">
      <c r="A29" s="17"/>
      <c r="C29" s="29">
        <v>18</v>
      </c>
      <c r="D29" s="1" t="s">
        <v>38</v>
      </c>
      <c r="E29" s="18">
        <v>93.8</v>
      </c>
      <c r="F29" s="18">
        <v>67.8</v>
      </c>
      <c r="G29" s="18">
        <v>61.8</v>
      </c>
      <c r="I29" s="18">
        <f t="shared" si="5"/>
        <v>76.267576791808878</v>
      </c>
      <c r="J29" s="42"/>
      <c r="K29" s="16"/>
      <c r="M29" s="35">
        <f>183+42</f>
        <v>225</v>
      </c>
      <c r="N29" s="35">
        <f>144+69</f>
        <v>213</v>
      </c>
      <c r="O29" s="35">
        <f>84+64</f>
        <v>148</v>
      </c>
      <c r="P29" s="33">
        <f t="shared" si="0"/>
        <v>21105</v>
      </c>
      <c r="Q29" s="33">
        <f t="shared" si="0"/>
        <v>14441.4</v>
      </c>
      <c r="R29" s="33">
        <f t="shared" si="0"/>
        <v>9146.4</v>
      </c>
      <c r="S29" s="33">
        <f t="shared" si="1"/>
        <v>586</v>
      </c>
      <c r="T29" s="33">
        <f t="shared" si="2"/>
        <v>44692.800000000003</v>
      </c>
      <c r="U29" s="34">
        <f t="shared" si="7"/>
        <v>76.267576791808878</v>
      </c>
      <c r="W29" s="1" t="s">
        <v>38</v>
      </c>
      <c r="X29" s="18"/>
      <c r="Y29" s="18"/>
      <c r="Z29" s="18"/>
      <c r="AA29" s="35"/>
      <c r="AB29" s="35"/>
      <c r="AC29" s="35"/>
      <c r="AD29" s="33">
        <f t="shared" si="8"/>
        <v>0</v>
      </c>
      <c r="AE29" s="33">
        <f t="shared" si="9"/>
        <v>0</v>
      </c>
      <c r="AF29" s="33">
        <f t="shared" si="10"/>
        <v>0</v>
      </c>
      <c r="AG29" s="33">
        <f t="shared" si="3"/>
        <v>0</v>
      </c>
      <c r="AH29" s="33">
        <f t="shared" si="4"/>
        <v>0</v>
      </c>
      <c r="AI29" s="34"/>
    </row>
    <row r="30" spans="1:35" ht="13.5" customHeight="1" x14ac:dyDescent="0.2">
      <c r="A30" s="17"/>
      <c r="C30" s="29">
        <v>19</v>
      </c>
      <c r="D30" s="1" t="s">
        <v>39</v>
      </c>
      <c r="E30" s="18">
        <v>110.5</v>
      </c>
      <c r="F30" s="18">
        <v>80.599999999999994</v>
      </c>
      <c r="G30" s="18">
        <v>65.3</v>
      </c>
      <c r="I30" s="18">
        <f t="shared" si="5"/>
        <v>82.206805807622501</v>
      </c>
      <c r="J30" s="42">
        <f t="shared" si="6"/>
        <v>5.0017993106858949E-2</v>
      </c>
      <c r="K30" s="16"/>
      <c r="M30" s="35">
        <f>223+67</f>
        <v>290</v>
      </c>
      <c r="N30" s="35">
        <f>214+147</f>
        <v>361</v>
      </c>
      <c r="O30" s="35">
        <f>216+235</f>
        <v>451</v>
      </c>
      <c r="P30" s="33">
        <f t="shared" si="0"/>
        <v>32045</v>
      </c>
      <c r="Q30" s="33">
        <f t="shared" si="0"/>
        <v>29096.6</v>
      </c>
      <c r="R30" s="33">
        <f t="shared" si="0"/>
        <v>29450.3</v>
      </c>
      <c r="S30" s="33">
        <f t="shared" si="1"/>
        <v>1102</v>
      </c>
      <c r="T30" s="33">
        <f t="shared" si="2"/>
        <v>90591.9</v>
      </c>
      <c r="U30" s="34">
        <f t="shared" si="7"/>
        <v>82.206805807622501</v>
      </c>
      <c r="W30" s="1" t="s">
        <v>39</v>
      </c>
      <c r="X30" s="18">
        <v>104.2</v>
      </c>
      <c r="Y30" s="18">
        <v>77.099999999999994</v>
      </c>
      <c r="Z30" s="18">
        <v>63.8</v>
      </c>
      <c r="AA30" s="35">
        <f>156+41</f>
        <v>197</v>
      </c>
      <c r="AB30" s="35">
        <f>173+134</f>
        <v>307</v>
      </c>
      <c r="AC30" s="35">
        <f>149+178</f>
        <v>327</v>
      </c>
      <c r="AD30" s="33">
        <f t="shared" si="8"/>
        <v>20527.400000000001</v>
      </c>
      <c r="AE30" s="33">
        <f t="shared" si="9"/>
        <v>23669.699999999997</v>
      </c>
      <c r="AF30" s="33">
        <f t="shared" si="10"/>
        <v>20862.599999999999</v>
      </c>
      <c r="AG30" s="33">
        <f t="shared" si="3"/>
        <v>831</v>
      </c>
      <c r="AH30" s="33">
        <f t="shared" si="4"/>
        <v>65059.7</v>
      </c>
      <c r="AI30" s="34">
        <f t="shared" si="11"/>
        <v>78.290854392298428</v>
      </c>
    </row>
    <row r="31" spans="1:35" ht="13.5" customHeight="1" x14ac:dyDescent="0.2">
      <c r="A31" s="17"/>
      <c r="C31" s="29">
        <v>20</v>
      </c>
      <c r="D31" s="1" t="s">
        <v>40</v>
      </c>
      <c r="E31" s="18">
        <v>105.6</v>
      </c>
      <c r="F31" s="18">
        <v>80.400000000000006</v>
      </c>
      <c r="G31" s="18">
        <v>66.8</v>
      </c>
      <c r="I31" s="18">
        <f t="shared" si="5"/>
        <v>85.114945321992721</v>
      </c>
      <c r="J31" s="42">
        <f t="shared" si="6"/>
        <v>2.6096413172002064E-2</v>
      </c>
      <c r="K31" s="16"/>
      <c r="M31" s="35">
        <f>239+58</f>
        <v>297</v>
      </c>
      <c r="N31" s="35">
        <f>163+98</f>
        <v>261</v>
      </c>
      <c r="O31" s="35">
        <f>134+131</f>
        <v>265</v>
      </c>
      <c r="P31" s="33">
        <f t="shared" si="0"/>
        <v>31363.199999999997</v>
      </c>
      <c r="Q31" s="33">
        <f t="shared" si="0"/>
        <v>20984.400000000001</v>
      </c>
      <c r="R31" s="33">
        <f t="shared" si="0"/>
        <v>17702</v>
      </c>
      <c r="S31" s="33">
        <f t="shared" si="1"/>
        <v>823</v>
      </c>
      <c r="T31" s="33">
        <f t="shared" si="2"/>
        <v>70049.600000000006</v>
      </c>
      <c r="U31" s="34">
        <f t="shared" si="7"/>
        <v>85.114945321992721</v>
      </c>
      <c r="W31" s="1" t="s">
        <v>40</v>
      </c>
      <c r="X31" s="18">
        <v>103.1</v>
      </c>
      <c r="Y31" s="18">
        <v>78.7</v>
      </c>
      <c r="Z31" s="18">
        <v>64.099999999999994</v>
      </c>
      <c r="AA31" s="35">
        <f>248+53</f>
        <v>301</v>
      </c>
      <c r="AB31" s="35">
        <f>159+106</f>
        <v>265</v>
      </c>
      <c r="AC31" s="35">
        <f>136+126</f>
        <v>262</v>
      </c>
      <c r="AD31" s="33">
        <f t="shared" si="8"/>
        <v>31033.1</v>
      </c>
      <c r="AE31" s="33">
        <f t="shared" si="9"/>
        <v>20855.5</v>
      </c>
      <c r="AF31" s="33">
        <f t="shared" si="10"/>
        <v>16794.199999999997</v>
      </c>
      <c r="AG31" s="33">
        <f t="shared" si="3"/>
        <v>828</v>
      </c>
      <c r="AH31" s="33">
        <f t="shared" si="4"/>
        <v>68682.799999999988</v>
      </c>
      <c r="AI31" s="34">
        <f t="shared" si="11"/>
        <v>82.950241545893704</v>
      </c>
    </row>
    <row r="32" spans="1:35" ht="13.5" customHeight="1" x14ac:dyDescent="0.2">
      <c r="A32" s="17"/>
      <c r="C32" s="29">
        <v>21</v>
      </c>
      <c r="D32" s="1" t="s">
        <v>41</v>
      </c>
      <c r="E32" s="18">
        <v>92.2</v>
      </c>
      <c r="F32" s="18">
        <v>71</v>
      </c>
      <c r="G32" s="18">
        <v>61.1</v>
      </c>
      <c r="I32" s="18">
        <f t="shared" si="5"/>
        <v>73.313071065989845</v>
      </c>
      <c r="J32" s="42">
        <f t="shared" si="6"/>
        <v>5.1869936636657066E-2</v>
      </c>
      <c r="K32" s="16"/>
      <c r="M32" s="35">
        <f>153+67</f>
        <v>220</v>
      </c>
      <c r="N32" s="35">
        <f>167+114</f>
        <v>281</v>
      </c>
      <c r="O32" s="35">
        <f>131+156</f>
        <v>287</v>
      </c>
      <c r="P32" s="33">
        <f t="shared" si="0"/>
        <v>20284</v>
      </c>
      <c r="Q32" s="33">
        <f t="shared" si="0"/>
        <v>19951</v>
      </c>
      <c r="R32" s="33">
        <f t="shared" si="0"/>
        <v>17535.7</v>
      </c>
      <c r="S32" s="33">
        <f t="shared" si="1"/>
        <v>788</v>
      </c>
      <c r="T32" s="33">
        <f t="shared" si="2"/>
        <v>57770.7</v>
      </c>
      <c r="U32" s="34">
        <f t="shared" si="7"/>
        <v>73.313071065989845</v>
      </c>
      <c r="W32" s="1" t="s">
        <v>41</v>
      </c>
      <c r="X32" s="18">
        <v>88.9</v>
      </c>
      <c r="Y32" s="18">
        <v>67.8</v>
      </c>
      <c r="Z32" s="18">
        <v>58</v>
      </c>
      <c r="AA32" s="35">
        <f>141+68</f>
        <v>209</v>
      </c>
      <c r="AB32" s="35">
        <f>165+119</f>
        <v>284</v>
      </c>
      <c r="AC32" s="35">
        <f>135+162</f>
        <v>297</v>
      </c>
      <c r="AD32" s="33">
        <f t="shared" si="8"/>
        <v>18580.100000000002</v>
      </c>
      <c r="AE32" s="33">
        <f t="shared" si="9"/>
        <v>19255.2</v>
      </c>
      <c r="AF32" s="33">
        <f t="shared" si="10"/>
        <v>17226</v>
      </c>
      <c r="AG32" s="33">
        <f t="shared" si="3"/>
        <v>790</v>
      </c>
      <c r="AH32" s="33">
        <f t="shared" si="4"/>
        <v>55061.3</v>
      </c>
      <c r="AI32" s="34">
        <f t="shared" si="11"/>
        <v>69.697848101265834</v>
      </c>
    </row>
    <row r="33" spans="1:35" ht="13.5" customHeight="1" x14ac:dyDescent="0.2">
      <c r="A33" s="17"/>
      <c r="K33" s="16"/>
    </row>
    <row r="34" spans="1:35" ht="13.5" customHeight="1" x14ac:dyDescent="0.2">
      <c r="A34" s="17"/>
      <c r="D34" s="41" t="s">
        <v>43</v>
      </c>
      <c r="E34" s="38">
        <f>P34/M34</f>
        <v>105.75790562135741</v>
      </c>
      <c r="F34" s="38">
        <f>Q34/N34</f>
        <v>75.90082013047531</v>
      </c>
      <c r="G34" s="38">
        <f t="shared" ref="G34" si="12">R34/O34</f>
        <v>64.089880578252675</v>
      </c>
      <c r="H34" s="36"/>
      <c r="I34" s="38">
        <f t="shared" ref="I34" si="13">U34</f>
        <v>82.527993789221725</v>
      </c>
      <c r="J34" s="43">
        <f>(I34/AI34)-1</f>
        <v>3.2572651350123438E-2</v>
      </c>
      <c r="K34" s="16"/>
      <c r="M34" s="37">
        <f t="shared" ref="M34:R34" si="14">SUM(M12:M32)</f>
        <v>5319</v>
      </c>
      <c r="N34" s="37">
        <f t="shared" si="14"/>
        <v>5365</v>
      </c>
      <c r="O34" s="37">
        <f t="shared" si="14"/>
        <v>4773</v>
      </c>
      <c r="P34" s="37">
        <f t="shared" si="14"/>
        <v>562526.30000000005</v>
      </c>
      <c r="Q34" s="37">
        <f t="shared" si="14"/>
        <v>407207.9</v>
      </c>
      <c r="R34" s="37">
        <f t="shared" si="14"/>
        <v>305901</v>
      </c>
      <c r="S34" s="33">
        <f>M34+N34+O34</f>
        <v>15457</v>
      </c>
      <c r="T34" s="33">
        <f>P34+Q34+R34</f>
        <v>1275635.2000000002</v>
      </c>
      <c r="U34" s="34">
        <f>T34/S34</f>
        <v>82.527993789221725</v>
      </c>
      <c r="W34" s="1" t="s">
        <v>43</v>
      </c>
      <c r="X34" s="18">
        <f>AD34/AA34</f>
        <v>102.57299166158226</v>
      </c>
      <c r="Y34" s="18">
        <f t="shared" ref="Y34:Z34" si="15">AE34/AB34</f>
        <v>73.614265789998015</v>
      </c>
      <c r="Z34" s="18">
        <f t="shared" si="15"/>
        <v>61.964255127338298</v>
      </c>
      <c r="AA34" s="37">
        <f t="shared" ref="AA34:AF34" si="16">SUM(AA12:AA32)</f>
        <v>4917</v>
      </c>
      <c r="AB34" s="37">
        <f t="shared" si="16"/>
        <v>5019</v>
      </c>
      <c r="AC34" s="37">
        <f t="shared" si="16"/>
        <v>4437</v>
      </c>
      <c r="AD34" s="37">
        <f t="shared" si="16"/>
        <v>504351.4</v>
      </c>
      <c r="AE34" s="37">
        <f t="shared" si="16"/>
        <v>369470.00000000006</v>
      </c>
      <c r="AF34" s="37">
        <f t="shared" si="16"/>
        <v>274935.40000000002</v>
      </c>
      <c r="AG34" s="33">
        <f>AA34+AB34+AC34</f>
        <v>14373</v>
      </c>
      <c r="AH34" s="33">
        <f>AD34+AE34+AF34</f>
        <v>1148756.8000000003</v>
      </c>
      <c r="AI34" s="34">
        <f>AH34/AG34</f>
        <v>79.924636471161222</v>
      </c>
    </row>
    <row r="35" spans="1:35" ht="13.5" customHeight="1" x14ac:dyDescent="0.2">
      <c r="A35" s="17"/>
      <c r="D35" s="41" t="s">
        <v>44</v>
      </c>
      <c r="E35" s="38">
        <f>MEDIAN(E12:E32)</f>
        <v>103.8</v>
      </c>
      <c r="F35" s="38">
        <f>MEDIAN(F12:F32)</f>
        <v>74</v>
      </c>
      <c r="G35" s="38">
        <f>MEDIAN(G12:G32)</f>
        <v>62.3</v>
      </c>
      <c r="H35" s="36"/>
      <c r="I35" s="38">
        <f>MEDIAN(I12:I32)</f>
        <v>80.790781796966158</v>
      </c>
      <c r="J35" s="43">
        <f>(I35/AI35)-1</f>
        <v>4.5280825000917124E-2</v>
      </c>
      <c r="K35" s="16"/>
      <c r="W35" s="1" t="s">
        <v>44</v>
      </c>
      <c r="X35" s="18">
        <f>MEDIAN(X12:X32)</f>
        <v>100.45</v>
      </c>
      <c r="Y35" s="18">
        <f>MEDIAN(Y12:Y32)</f>
        <v>72.099999999999994</v>
      </c>
      <c r="Z35" s="18">
        <f>MEDIAN(Z12:Z32)</f>
        <v>60.05</v>
      </c>
      <c r="AI35" s="18">
        <f>MEDIAN(AI12:AI32)</f>
        <v>77.290982350982347</v>
      </c>
    </row>
    <row r="36" spans="1:35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35" ht="13.5" customHeight="1" x14ac:dyDescent="0.2">
      <c r="A37" s="17"/>
      <c r="K37" s="16"/>
    </row>
    <row r="38" spans="1:35" ht="13.5" customHeight="1" x14ac:dyDescent="0.2">
      <c r="A38" s="17"/>
      <c r="B38" s="14" t="s">
        <v>19</v>
      </c>
      <c r="K38" s="16"/>
    </row>
    <row r="39" spans="1:35" ht="13.5" customHeight="1" x14ac:dyDescent="0.2">
      <c r="A39" s="17"/>
      <c r="K39" s="16"/>
    </row>
    <row r="40" spans="1:35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56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8334F-CA9E-497C-BB7C-C201B9BC499D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79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155.80000000000001</v>
      </c>
      <c r="F12" s="18">
        <v>105.3</v>
      </c>
      <c r="G12" s="18">
        <v>87.3</v>
      </c>
      <c r="I12" s="18">
        <f>U12</f>
        <v>113.68489208633093</v>
      </c>
      <c r="J12" s="42">
        <f>(I12/'Urban 21-22'!I12)-1</f>
        <v>1.8284997553493554E-2</v>
      </c>
      <c r="K12" s="16"/>
      <c r="M12" s="35">
        <f>126+81</f>
        <v>207</v>
      </c>
      <c r="N12" s="35">
        <f>126+105</f>
        <v>231</v>
      </c>
      <c r="O12" s="35">
        <f>80+177</f>
        <v>257</v>
      </c>
      <c r="P12" s="33">
        <f t="shared" ref="P12:R32" si="0">E12*M12</f>
        <v>32250.600000000002</v>
      </c>
      <c r="Q12" s="33">
        <f t="shared" si="0"/>
        <v>24324.3</v>
      </c>
      <c r="R12" s="33">
        <f t="shared" si="0"/>
        <v>22436.1</v>
      </c>
      <c r="S12" s="33">
        <f t="shared" ref="S12:S32" si="1">M12+N12+O12</f>
        <v>695</v>
      </c>
      <c r="T12" s="33">
        <f t="shared" ref="T12:T32" si="2">P12+Q12+R12</f>
        <v>79011</v>
      </c>
      <c r="U12" s="34">
        <f>T12/S12</f>
        <v>113.68489208633093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134.9</v>
      </c>
      <c r="F13" s="18">
        <v>99.8</v>
      </c>
      <c r="G13" s="18">
        <v>80.900000000000006</v>
      </c>
      <c r="I13" s="18">
        <f>U13</f>
        <v>105.60782339271883</v>
      </c>
      <c r="J13" s="42">
        <f>(I13/'Urban 21-22'!I13)-1</f>
        <v>3.4146736080829854E-2</v>
      </c>
      <c r="K13" s="16"/>
      <c r="M13" s="35">
        <f>262+160</f>
        <v>422</v>
      </c>
      <c r="N13" s="35">
        <f>247+235</f>
        <v>482</v>
      </c>
      <c r="O13" s="35">
        <f>177+210</f>
        <v>387</v>
      </c>
      <c r="P13" s="33">
        <f t="shared" si="0"/>
        <v>56927.8</v>
      </c>
      <c r="Q13" s="33">
        <f t="shared" si="0"/>
        <v>48103.6</v>
      </c>
      <c r="R13" s="33">
        <f t="shared" si="0"/>
        <v>31308.300000000003</v>
      </c>
      <c r="S13" s="33">
        <f t="shared" si="1"/>
        <v>1291</v>
      </c>
      <c r="T13" s="33">
        <f t="shared" si="2"/>
        <v>136339.70000000001</v>
      </c>
      <c r="U13" s="34">
        <f t="shared" ref="U13:U32" si="3">T13/S13</f>
        <v>105.60782339271883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115.9</v>
      </c>
      <c r="F14" s="18">
        <v>93</v>
      </c>
      <c r="G14" s="18">
        <v>88.8</v>
      </c>
      <c r="I14" s="18">
        <f>U14</f>
        <v>98.780235294117645</v>
      </c>
      <c r="J14" s="42">
        <f>(I14/'Urban 21-22'!I14)-1</f>
        <v>4.1632788710015856E-2</v>
      </c>
      <c r="K14" s="16"/>
      <c r="M14" s="35">
        <f>87+41</f>
        <v>128</v>
      </c>
      <c r="N14" s="35">
        <f>93+91</f>
        <v>184</v>
      </c>
      <c r="O14" s="35">
        <f>57+56</f>
        <v>113</v>
      </c>
      <c r="P14" s="33">
        <f t="shared" si="0"/>
        <v>14835.2</v>
      </c>
      <c r="Q14" s="33">
        <f t="shared" si="0"/>
        <v>17112</v>
      </c>
      <c r="R14" s="33">
        <f t="shared" si="0"/>
        <v>10034.4</v>
      </c>
      <c r="S14" s="33">
        <f t="shared" si="1"/>
        <v>425</v>
      </c>
      <c r="T14" s="33">
        <f t="shared" si="2"/>
        <v>41981.599999999999</v>
      </c>
      <c r="U14" s="34">
        <f t="shared" si="3"/>
        <v>98.780235294117645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138.6</v>
      </c>
      <c r="F15" s="18">
        <v>114.6</v>
      </c>
      <c r="G15" s="18">
        <v>95.5</v>
      </c>
      <c r="I15" s="18">
        <f t="shared" ref="I15:I32" si="4">U15</f>
        <v>124.39724576271186</v>
      </c>
      <c r="J15" s="42">
        <f>(I15/'Urban 21-22'!I15)-1</f>
        <v>1.3430628046839921E-2</v>
      </c>
      <c r="K15" s="16"/>
      <c r="M15" s="35">
        <f>164+82</f>
        <v>246</v>
      </c>
      <c r="N15" s="35">
        <f>98+61</f>
        <v>159</v>
      </c>
      <c r="O15" s="35">
        <f>33+34</f>
        <v>67</v>
      </c>
      <c r="P15" s="33">
        <f t="shared" si="0"/>
        <v>34095.599999999999</v>
      </c>
      <c r="Q15" s="33">
        <f t="shared" si="0"/>
        <v>18221.399999999998</v>
      </c>
      <c r="R15" s="33">
        <f t="shared" si="0"/>
        <v>6398.5</v>
      </c>
      <c r="S15" s="33">
        <f t="shared" si="1"/>
        <v>472</v>
      </c>
      <c r="T15" s="33">
        <f t="shared" si="2"/>
        <v>58715.5</v>
      </c>
      <c r="U15" s="34">
        <f t="shared" si="3"/>
        <v>124.39724576271186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151.80000000000001</v>
      </c>
      <c r="F16" s="18">
        <v>103.4</v>
      </c>
      <c r="G16" s="18">
        <v>96.5</v>
      </c>
      <c r="I16" s="18">
        <f t="shared" si="4"/>
        <v>118.45636978579482</v>
      </c>
      <c r="J16" s="42">
        <f>(I16/'Urban 21-22'!I16)-1</f>
        <v>3.2324960843903572E-2</v>
      </c>
      <c r="K16" s="16"/>
      <c r="M16" s="35">
        <f>236+75</f>
        <v>311</v>
      </c>
      <c r="N16" s="35">
        <f>188+142</f>
        <v>330</v>
      </c>
      <c r="O16" s="35">
        <f>113+133</f>
        <v>246</v>
      </c>
      <c r="P16" s="33">
        <f t="shared" si="0"/>
        <v>47209.8</v>
      </c>
      <c r="Q16" s="33">
        <f t="shared" si="0"/>
        <v>34122</v>
      </c>
      <c r="R16" s="33">
        <f t="shared" si="0"/>
        <v>23739</v>
      </c>
      <c r="S16" s="33">
        <f t="shared" si="1"/>
        <v>887</v>
      </c>
      <c r="T16" s="33">
        <f t="shared" si="2"/>
        <v>105070.8</v>
      </c>
      <c r="U16" s="34">
        <f t="shared" si="3"/>
        <v>118.45636978579482</v>
      </c>
    </row>
    <row r="17" spans="1:21" ht="13.5" customHeight="1" x14ac:dyDescent="0.2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165.2</v>
      </c>
      <c r="F18" s="18">
        <v>111.8</v>
      </c>
      <c r="G18" s="18">
        <v>103.5</v>
      </c>
      <c r="I18" s="18">
        <f t="shared" si="4"/>
        <v>133.4104895104895</v>
      </c>
      <c r="J18" s="42">
        <f>(I18/'Urban 21-22'!I18)-1</f>
        <v>2.2867369622676659E-2</v>
      </c>
      <c r="K18" s="16"/>
      <c r="M18" s="35">
        <f>325+116</f>
        <v>441</v>
      </c>
      <c r="N18" s="35">
        <f>199+130</f>
        <v>329</v>
      </c>
      <c r="O18" s="35">
        <f>129+102</f>
        <v>231</v>
      </c>
      <c r="P18" s="33">
        <f t="shared" si="0"/>
        <v>72853.2</v>
      </c>
      <c r="Q18" s="33">
        <f t="shared" si="0"/>
        <v>36782.199999999997</v>
      </c>
      <c r="R18" s="33">
        <f t="shared" si="0"/>
        <v>23908.5</v>
      </c>
      <c r="S18" s="33">
        <f t="shared" si="1"/>
        <v>1001</v>
      </c>
      <c r="T18" s="33">
        <f t="shared" si="2"/>
        <v>133543.9</v>
      </c>
      <c r="U18" s="34">
        <f t="shared" si="3"/>
        <v>133.4104895104895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172.1</v>
      </c>
      <c r="F19" s="18">
        <v>129</v>
      </c>
      <c r="G19" s="18">
        <v>101.6</v>
      </c>
      <c r="I19" s="18">
        <f t="shared" si="4"/>
        <v>132.69737045630319</v>
      </c>
      <c r="J19" s="42">
        <f>(I19/'Urban 21-22'!I19)-1</f>
        <v>9.4828465647545102E-4</v>
      </c>
      <c r="K19" s="16"/>
      <c r="M19" s="35">
        <f>252+145</f>
        <v>397</v>
      </c>
      <c r="N19" s="35">
        <f>228+218</f>
        <v>446</v>
      </c>
      <c r="O19" s="35">
        <f>204+246</f>
        <v>450</v>
      </c>
      <c r="P19" s="33">
        <f t="shared" si="0"/>
        <v>68323.7</v>
      </c>
      <c r="Q19" s="33">
        <f t="shared" si="0"/>
        <v>57534</v>
      </c>
      <c r="R19" s="33">
        <f t="shared" si="0"/>
        <v>45720</v>
      </c>
      <c r="S19" s="33">
        <f t="shared" si="1"/>
        <v>1293</v>
      </c>
      <c r="T19" s="33">
        <f t="shared" si="2"/>
        <v>171577.7</v>
      </c>
      <c r="U19" s="34">
        <f t="shared" si="3"/>
        <v>132.69737045630319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125.9</v>
      </c>
      <c r="F20" s="18">
        <v>93.3</v>
      </c>
      <c r="G20" s="18">
        <v>82.3</v>
      </c>
      <c r="I20" s="18">
        <f t="shared" si="4"/>
        <v>100.3501210653753</v>
      </c>
      <c r="J20" s="42">
        <f>(I20/'Urban 21-22'!I20)-1</f>
        <v>4.4567641353835397E-2</v>
      </c>
      <c r="K20" s="16"/>
      <c r="M20" s="35">
        <f>173+91</f>
        <v>264</v>
      </c>
      <c r="N20" s="35">
        <f>156+153</f>
        <v>309</v>
      </c>
      <c r="O20" s="35">
        <f>90+163</f>
        <v>253</v>
      </c>
      <c r="P20" s="33">
        <f t="shared" si="0"/>
        <v>33237.599999999999</v>
      </c>
      <c r="Q20" s="33">
        <f t="shared" si="0"/>
        <v>28829.7</v>
      </c>
      <c r="R20" s="33">
        <f t="shared" si="0"/>
        <v>20821.899999999998</v>
      </c>
      <c r="S20" s="33">
        <f t="shared" si="1"/>
        <v>826</v>
      </c>
      <c r="T20" s="33">
        <f t="shared" si="2"/>
        <v>82889.2</v>
      </c>
      <c r="U20" s="34">
        <f t="shared" si="3"/>
        <v>100.3501210653753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155.4</v>
      </c>
      <c r="F21" s="18">
        <v>119.5</v>
      </c>
      <c r="G21" s="18">
        <v>92.4</v>
      </c>
      <c r="I21" s="18">
        <f t="shared" si="4"/>
        <v>123.72612612612613</v>
      </c>
      <c r="J21" s="42">
        <f>(I21/'Urban 21-22'!I21)-1</f>
        <v>6.5124316729176179E-2</v>
      </c>
      <c r="K21" s="16"/>
      <c r="M21" s="35">
        <f>70+57</f>
        <v>127</v>
      </c>
      <c r="N21" s="35">
        <f>114+104</f>
        <v>218</v>
      </c>
      <c r="O21" s="35">
        <f>41+58</f>
        <v>99</v>
      </c>
      <c r="P21" s="33">
        <f t="shared" si="0"/>
        <v>19735.8</v>
      </c>
      <c r="Q21" s="33">
        <f t="shared" si="0"/>
        <v>26051</v>
      </c>
      <c r="R21" s="33">
        <f t="shared" si="0"/>
        <v>9147.6</v>
      </c>
      <c r="S21" s="33">
        <f t="shared" si="1"/>
        <v>444</v>
      </c>
      <c r="T21" s="33">
        <f t="shared" si="2"/>
        <v>54934.400000000001</v>
      </c>
      <c r="U21" s="34">
        <f t="shared" si="3"/>
        <v>123.72612612612613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113.2</v>
      </c>
      <c r="F22" s="18">
        <v>86.9</v>
      </c>
      <c r="G22" s="18">
        <v>77.900000000000006</v>
      </c>
      <c r="I22" s="18">
        <f>U22</f>
        <v>91.345851528384287</v>
      </c>
      <c r="J22" s="42">
        <f>(I22/'Urban 21-22'!I22)-1</f>
        <v>1.9306887943118634E-2</v>
      </c>
      <c r="K22" s="16"/>
      <c r="M22" s="35">
        <f>131+70</f>
        <v>201</v>
      </c>
      <c r="N22" s="35">
        <f>127+111</f>
        <v>238</v>
      </c>
      <c r="O22" s="35">
        <f>110+138</f>
        <v>248</v>
      </c>
      <c r="P22" s="33">
        <f t="shared" si="0"/>
        <v>22753.200000000001</v>
      </c>
      <c r="Q22" s="33">
        <f t="shared" si="0"/>
        <v>20682.2</v>
      </c>
      <c r="R22" s="33">
        <f t="shared" si="0"/>
        <v>19319.2</v>
      </c>
      <c r="S22" s="33">
        <f t="shared" si="1"/>
        <v>687</v>
      </c>
      <c r="T22" s="33">
        <f t="shared" si="2"/>
        <v>62754.600000000006</v>
      </c>
      <c r="U22" s="34">
        <f t="shared" si="3"/>
        <v>91.345851528384287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115.4</v>
      </c>
      <c r="F23" s="23">
        <v>93.8</v>
      </c>
      <c r="G23" s="23">
        <v>78.7</v>
      </c>
      <c r="H23" s="22"/>
      <c r="I23" s="23">
        <f t="shared" si="4"/>
        <v>96.06488095238096</v>
      </c>
      <c r="J23" s="44">
        <f>(I23/'Urban 21-22'!I23)-1</f>
        <v>4.3811495920063948E-2</v>
      </c>
      <c r="K23" s="16"/>
      <c r="M23" s="35">
        <f>93+71</f>
        <v>164</v>
      </c>
      <c r="N23" s="35">
        <f>103+78</f>
        <v>181</v>
      </c>
      <c r="O23" s="35">
        <f>71+88</f>
        <v>159</v>
      </c>
      <c r="P23" s="33">
        <f t="shared" si="0"/>
        <v>18925.600000000002</v>
      </c>
      <c r="Q23" s="33">
        <f t="shared" si="0"/>
        <v>16977.8</v>
      </c>
      <c r="R23" s="33">
        <f t="shared" si="0"/>
        <v>12513.300000000001</v>
      </c>
      <c r="S23" s="33">
        <f t="shared" si="1"/>
        <v>504</v>
      </c>
      <c r="T23" s="33">
        <f t="shared" si="2"/>
        <v>48416.700000000004</v>
      </c>
      <c r="U23" s="34">
        <f t="shared" si="3"/>
        <v>96.06488095238096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106.4</v>
      </c>
      <c r="F24" s="23">
        <v>83</v>
      </c>
      <c r="G24" s="23">
        <v>75.8</v>
      </c>
      <c r="H24" s="22"/>
      <c r="I24" s="23">
        <f t="shared" si="4"/>
        <v>88.194999999999993</v>
      </c>
      <c r="J24" s="44">
        <f>(I24/'Urban 21-22'!I24)-1</f>
        <v>3.3922479924920479E-2</v>
      </c>
      <c r="K24" s="16"/>
      <c r="M24" s="35">
        <f>66+49</f>
        <v>115</v>
      </c>
      <c r="N24" s="35">
        <f>56+75</f>
        <v>131</v>
      </c>
      <c r="O24" s="35">
        <f>36+78</f>
        <v>114</v>
      </c>
      <c r="P24" s="33">
        <f t="shared" si="0"/>
        <v>12236</v>
      </c>
      <c r="Q24" s="33">
        <f t="shared" si="0"/>
        <v>10873</v>
      </c>
      <c r="R24" s="33">
        <f t="shared" si="0"/>
        <v>8641.1999999999989</v>
      </c>
      <c r="S24" s="33">
        <f t="shared" si="1"/>
        <v>360</v>
      </c>
      <c r="T24" s="33">
        <f t="shared" si="2"/>
        <v>31750.199999999997</v>
      </c>
      <c r="U24" s="34">
        <f t="shared" si="3"/>
        <v>88.194999999999993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100.9</v>
      </c>
      <c r="F25" s="18">
        <v>85.8</v>
      </c>
      <c r="G25" s="18">
        <v>80.5</v>
      </c>
      <c r="I25" s="18">
        <f t="shared" si="4"/>
        <v>90.156382978723414</v>
      </c>
      <c r="J25" s="42">
        <f>(I25/'Urban 21-22'!I25)-1</f>
        <v>5.682551740855768E-2</v>
      </c>
      <c r="K25" s="16"/>
      <c r="M25" s="35">
        <f>58+18</f>
        <v>76</v>
      </c>
      <c r="N25" s="35">
        <f>34+16</f>
        <v>50</v>
      </c>
      <c r="O25" s="35">
        <f>38+24</f>
        <v>62</v>
      </c>
      <c r="P25" s="33">
        <f t="shared" si="0"/>
        <v>7668.4000000000005</v>
      </c>
      <c r="Q25" s="33">
        <f t="shared" si="0"/>
        <v>4290</v>
      </c>
      <c r="R25" s="33">
        <f t="shared" si="0"/>
        <v>4991</v>
      </c>
      <c r="S25" s="33">
        <f t="shared" si="1"/>
        <v>188</v>
      </c>
      <c r="T25" s="33">
        <f t="shared" si="2"/>
        <v>16949.400000000001</v>
      </c>
      <c r="U25" s="34">
        <f t="shared" si="3"/>
        <v>90.156382978723414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151.4</v>
      </c>
      <c r="F26" s="18">
        <v>103.7</v>
      </c>
      <c r="G26" s="18">
        <v>88.1</v>
      </c>
      <c r="I26" s="18">
        <f t="shared" si="4"/>
        <v>114.4623869801085</v>
      </c>
      <c r="J26" s="42">
        <f>(I26/'Urban 21-22'!I26)-1</f>
        <v>-2.2804156068336523E-2</v>
      </c>
      <c r="K26" s="16"/>
      <c r="M26" s="35">
        <f>352+212</f>
        <v>564</v>
      </c>
      <c r="N26" s="35">
        <f>267+248</f>
        <v>515</v>
      </c>
      <c r="O26" s="35">
        <f>243+337</f>
        <v>580</v>
      </c>
      <c r="P26" s="33">
        <f t="shared" si="0"/>
        <v>85389.6</v>
      </c>
      <c r="Q26" s="33">
        <f t="shared" si="0"/>
        <v>53405.5</v>
      </c>
      <c r="R26" s="33">
        <f t="shared" si="0"/>
        <v>51098</v>
      </c>
      <c r="S26" s="33">
        <f t="shared" si="1"/>
        <v>1659</v>
      </c>
      <c r="T26" s="33">
        <f t="shared" si="2"/>
        <v>189893.1</v>
      </c>
      <c r="U26" s="34">
        <f t="shared" si="3"/>
        <v>114.4623869801085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121.3</v>
      </c>
      <c r="F27" s="18">
        <v>94.9</v>
      </c>
      <c r="G27" s="18">
        <v>78.2</v>
      </c>
      <c r="I27" s="18">
        <f t="shared" si="4"/>
        <v>100.46849757673667</v>
      </c>
      <c r="J27" s="42">
        <f>(I27/'Urban 21-22'!I27)-1</f>
        <v>1.297013754841414E-2</v>
      </c>
      <c r="K27" s="16"/>
      <c r="M27" s="35">
        <f>155+85</f>
        <v>240</v>
      </c>
      <c r="N27" s="35">
        <f>106+100</f>
        <v>206</v>
      </c>
      <c r="O27" s="35">
        <f>58+115</f>
        <v>173</v>
      </c>
      <c r="P27" s="33">
        <f t="shared" si="0"/>
        <v>29112</v>
      </c>
      <c r="Q27" s="33">
        <f t="shared" si="0"/>
        <v>19549.400000000001</v>
      </c>
      <c r="R27" s="33">
        <f t="shared" si="0"/>
        <v>13528.6</v>
      </c>
      <c r="S27" s="33">
        <f t="shared" si="1"/>
        <v>619</v>
      </c>
      <c r="T27" s="33">
        <f t="shared" si="2"/>
        <v>62190</v>
      </c>
      <c r="U27" s="34">
        <f t="shared" si="3"/>
        <v>100.46849757673667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170.6</v>
      </c>
      <c r="F28" s="18">
        <v>116.2</v>
      </c>
      <c r="G28" s="18">
        <v>94.5</v>
      </c>
      <c r="I28" s="18">
        <f t="shared" si="4"/>
        <v>123.7462482946794</v>
      </c>
      <c r="J28" s="42">
        <f>(I28/'Urban 21-22'!I28)-1</f>
        <v>2.7896887595966202E-2</v>
      </c>
      <c r="K28" s="16"/>
      <c r="M28" s="35">
        <f>266+140</f>
        <v>406</v>
      </c>
      <c r="N28" s="35">
        <f>293+259</f>
        <v>552</v>
      </c>
      <c r="O28" s="35">
        <f>251+257</f>
        <v>508</v>
      </c>
      <c r="P28" s="33">
        <f t="shared" si="0"/>
        <v>69263.599999999991</v>
      </c>
      <c r="Q28" s="33">
        <f t="shared" si="0"/>
        <v>64142.400000000001</v>
      </c>
      <c r="R28" s="33">
        <f t="shared" si="0"/>
        <v>48006</v>
      </c>
      <c r="S28" s="33">
        <f t="shared" si="1"/>
        <v>1466</v>
      </c>
      <c r="T28" s="33">
        <f t="shared" si="2"/>
        <v>181412</v>
      </c>
      <c r="U28" s="34">
        <f t="shared" si="3"/>
        <v>123.7462482946794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115.8</v>
      </c>
      <c r="F29" s="18">
        <v>96.3</v>
      </c>
      <c r="G29" s="18">
        <v>87.7</v>
      </c>
      <c r="I29" s="18">
        <f t="shared" si="4"/>
        <v>103.12927400468385</v>
      </c>
      <c r="J29" s="42">
        <f>(I29/'Urban 21-22'!I29)-1</f>
        <v>1.7361819675150381E-2</v>
      </c>
      <c r="K29" s="16"/>
      <c r="M29" s="35">
        <f>133+58</f>
        <v>191</v>
      </c>
      <c r="N29" s="35">
        <f>85+57</f>
        <v>142</v>
      </c>
      <c r="O29" s="35">
        <f>43+51</f>
        <v>94</v>
      </c>
      <c r="P29" s="33">
        <f t="shared" si="0"/>
        <v>22117.8</v>
      </c>
      <c r="Q29" s="33">
        <f t="shared" si="0"/>
        <v>13674.6</v>
      </c>
      <c r="R29" s="33">
        <f t="shared" si="0"/>
        <v>8243.8000000000011</v>
      </c>
      <c r="S29" s="33">
        <f t="shared" si="1"/>
        <v>427</v>
      </c>
      <c r="T29" s="33">
        <f t="shared" si="2"/>
        <v>44036.200000000004</v>
      </c>
      <c r="U29" s="34">
        <f t="shared" si="3"/>
        <v>103.12927400468385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153.80000000000001</v>
      </c>
      <c r="F30" s="18">
        <v>108</v>
      </c>
      <c r="G30" s="18">
        <v>82.7</v>
      </c>
      <c r="I30" s="18">
        <f t="shared" si="4"/>
        <v>106.41035653650255</v>
      </c>
      <c r="J30" s="42">
        <f>(I30/'Urban 21-22'!I30)-1</f>
        <v>2.7008001620932198E-2</v>
      </c>
      <c r="K30" s="16"/>
      <c r="M30" s="35">
        <f>159+73</f>
        <v>232</v>
      </c>
      <c r="N30" s="35">
        <f>224+228</f>
        <v>452</v>
      </c>
      <c r="O30" s="35">
        <f>219+275</f>
        <v>494</v>
      </c>
      <c r="P30" s="33">
        <f t="shared" si="0"/>
        <v>35681.600000000006</v>
      </c>
      <c r="Q30" s="33">
        <f t="shared" si="0"/>
        <v>48816</v>
      </c>
      <c r="R30" s="33">
        <f t="shared" si="0"/>
        <v>40853.800000000003</v>
      </c>
      <c r="S30" s="33">
        <f t="shared" si="1"/>
        <v>1178</v>
      </c>
      <c r="T30" s="33">
        <f t="shared" si="2"/>
        <v>125351.40000000001</v>
      </c>
      <c r="U30" s="34">
        <f t="shared" si="3"/>
        <v>106.41035653650255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139.4</v>
      </c>
      <c r="F31" s="18">
        <v>96.6</v>
      </c>
      <c r="G31" s="18">
        <v>84.2</v>
      </c>
      <c r="I31" s="18">
        <f t="shared" si="4"/>
        <v>104.77987152034261</v>
      </c>
      <c r="J31" s="42">
        <f>(I31/'Urban 21-22'!I31)-1</f>
        <v>-5.7868743132596934E-2</v>
      </c>
      <c r="K31" s="16"/>
      <c r="M31" s="35">
        <f>185+81</f>
        <v>266</v>
      </c>
      <c r="N31" s="35">
        <f>158+208</f>
        <v>366</v>
      </c>
      <c r="O31" s="35">
        <f>141+161</f>
        <v>302</v>
      </c>
      <c r="P31" s="33">
        <f t="shared" si="0"/>
        <v>37080.400000000001</v>
      </c>
      <c r="Q31" s="33">
        <f t="shared" si="0"/>
        <v>35355.599999999999</v>
      </c>
      <c r="R31" s="33">
        <f t="shared" si="0"/>
        <v>25428.400000000001</v>
      </c>
      <c r="S31" s="33">
        <f t="shared" si="1"/>
        <v>934</v>
      </c>
      <c r="T31" s="33">
        <f t="shared" si="2"/>
        <v>97864.4</v>
      </c>
      <c r="U31" s="34">
        <f t="shared" si="3"/>
        <v>104.77987152034261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114.3</v>
      </c>
      <c r="F32" s="18">
        <v>86.9</v>
      </c>
      <c r="G32" s="18">
        <v>81.599999999999994</v>
      </c>
      <c r="I32" s="18">
        <f t="shared" si="4"/>
        <v>94.496676300578031</v>
      </c>
      <c r="J32" s="42">
        <f>(I32/'Urban 21-22'!I32)-1</f>
        <v>9.2601870845268053E-3</v>
      </c>
      <c r="K32" s="16"/>
      <c r="M32" s="35">
        <f>143+80</f>
        <v>223</v>
      </c>
      <c r="N32" s="35">
        <f>169+139</f>
        <v>308</v>
      </c>
      <c r="O32" s="35">
        <f>64+97</f>
        <v>161</v>
      </c>
      <c r="P32" s="33">
        <f t="shared" si="0"/>
        <v>25488.899999999998</v>
      </c>
      <c r="Q32" s="33">
        <f t="shared" si="0"/>
        <v>26765.200000000001</v>
      </c>
      <c r="R32" s="33">
        <f t="shared" si="0"/>
        <v>13137.599999999999</v>
      </c>
      <c r="S32" s="33">
        <f t="shared" si="1"/>
        <v>692</v>
      </c>
      <c r="T32" s="33">
        <f t="shared" si="2"/>
        <v>65391.7</v>
      </c>
      <c r="U32" s="34">
        <f t="shared" si="3"/>
        <v>94.496676300578031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142.72867266807125</v>
      </c>
      <c r="F34" s="38">
        <f>Q34/N34</f>
        <v>103.89636301252359</v>
      </c>
      <c r="G34" s="38">
        <f t="shared" ref="G34" si="5">R34/O34</f>
        <v>87.890196078431359</v>
      </c>
      <c r="H34" s="36"/>
      <c r="I34" s="38">
        <f t="shared" ref="I34" si="6">U34</f>
        <v>111.54495887337985</v>
      </c>
      <c r="J34" s="43">
        <f>(I34/'Urban 21-22'!I34)-1</f>
        <v>1.6657852841560183E-2</v>
      </c>
      <c r="K34" s="16"/>
      <c r="M34" s="37">
        <f t="shared" ref="M34:R34" si="7">SUM(M12:M32)</f>
        <v>5221</v>
      </c>
      <c r="N34" s="37">
        <f t="shared" si="7"/>
        <v>5829</v>
      </c>
      <c r="O34" s="37">
        <f t="shared" si="7"/>
        <v>4998</v>
      </c>
      <c r="P34" s="37">
        <f t="shared" si="7"/>
        <v>745186.4</v>
      </c>
      <c r="Q34" s="37">
        <f t="shared" si="7"/>
        <v>605611.9</v>
      </c>
      <c r="R34" s="37">
        <f t="shared" si="7"/>
        <v>439275.19999999995</v>
      </c>
      <c r="S34" s="33">
        <f>M34+N34+O34</f>
        <v>16048</v>
      </c>
      <c r="T34" s="33">
        <f>P34+Q34+R34</f>
        <v>1790073.5</v>
      </c>
      <c r="U34" s="34">
        <f>T34/S34</f>
        <v>111.54495887337985</v>
      </c>
    </row>
    <row r="35" spans="1:21" ht="13.5" customHeight="1" x14ac:dyDescent="0.2">
      <c r="A35" s="17"/>
      <c r="D35" s="41" t="s">
        <v>44</v>
      </c>
      <c r="E35" s="38">
        <f>MEDIAN(E12:E32)</f>
        <v>136.75</v>
      </c>
      <c r="F35" s="38">
        <f>MEDIAN(F12:F32)</f>
        <v>98.199999999999989</v>
      </c>
      <c r="G35" s="38">
        <f>MEDIAN(G12:G32)</f>
        <v>85.75</v>
      </c>
      <c r="H35" s="36"/>
      <c r="I35" s="38">
        <f>MEDIAN(I12:I32)</f>
        <v>105.19384745653072</v>
      </c>
      <c r="J35" s="43">
        <f>(I35/'Urban 21-22'!I35)-1</f>
        <v>2.2626238034035628E-2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62</v>
      </c>
      <c r="K38" s="16"/>
    </row>
    <row r="39" spans="1:21" ht="13.5" customHeight="1" x14ac:dyDescent="0.2">
      <c r="A39" s="17"/>
      <c r="B39" s="14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80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64AD-5A64-465C-9DAF-314D0791007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77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151.30000000000001</v>
      </c>
      <c r="F12" s="18">
        <v>101.9</v>
      </c>
      <c r="G12" s="18">
        <v>87.5</v>
      </c>
      <c r="I12" s="18">
        <f>U12</f>
        <v>111.64349112426035</v>
      </c>
      <c r="J12" s="42">
        <f>(I12/'Urban 20-21'!I12)-1</f>
        <v>6.4779675063553199E-3</v>
      </c>
      <c r="K12" s="16"/>
      <c r="M12" s="35">
        <f>130+73</f>
        <v>203</v>
      </c>
      <c r="N12" s="35">
        <f>121+113</f>
        <v>234</v>
      </c>
      <c r="O12" s="35">
        <f>81+158</f>
        <v>239</v>
      </c>
      <c r="P12" s="33">
        <f t="shared" ref="P12:R32" si="0">E12*M12</f>
        <v>30713.9</v>
      </c>
      <c r="Q12" s="33">
        <f t="shared" si="0"/>
        <v>23844.600000000002</v>
      </c>
      <c r="R12" s="33">
        <f t="shared" si="0"/>
        <v>20912.5</v>
      </c>
      <c r="S12" s="33">
        <f t="shared" ref="S12:S32" si="1">M12+N12+O12</f>
        <v>676</v>
      </c>
      <c r="T12" s="33">
        <f t="shared" ref="T12:T32" si="2">P12+Q12+R12</f>
        <v>75471</v>
      </c>
      <c r="U12" s="34">
        <f>T12/S12</f>
        <v>111.64349112426035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131.4</v>
      </c>
      <c r="F13" s="18">
        <v>96</v>
      </c>
      <c r="G13" s="18">
        <v>78.099999999999994</v>
      </c>
      <c r="I13" s="18">
        <f>U13</f>
        <v>102.12073365231259</v>
      </c>
      <c r="J13" s="42">
        <f>(I13/'Urban 20-21'!I13)-1</f>
        <v>2.6746899836472826E-2</v>
      </c>
      <c r="K13" s="16"/>
      <c r="M13" s="35">
        <f>262+150</f>
        <v>412</v>
      </c>
      <c r="N13" s="35">
        <f>233+223</f>
        <v>456</v>
      </c>
      <c r="O13" s="35">
        <f>169+217</f>
        <v>386</v>
      </c>
      <c r="P13" s="33">
        <f t="shared" si="0"/>
        <v>54136.800000000003</v>
      </c>
      <c r="Q13" s="33">
        <f t="shared" si="0"/>
        <v>43776</v>
      </c>
      <c r="R13" s="33">
        <f t="shared" si="0"/>
        <v>30146.6</v>
      </c>
      <c r="S13" s="33">
        <f t="shared" si="1"/>
        <v>1254</v>
      </c>
      <c r="T13" s="33">
        <f t="shared" si="2"/>
        <v>128059.4</v>
      </c>
      <c r="U13" s="34">
        <f t="shared" ref="U13:U32" si="3">T13/S13</f>
        <v>102.12073365231259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113.4</v>
      </c>
      <c r="F14" s="18">
        <v>90.2</v>
      </c>
      <c r="G14" s="18">
        <v>82.6</v>
      </c>
      <c r="I14" s="18">
        <f>U14</f>
        <v>94.832110091743132</v>
      </c>
      <c r="J14" s="42">
        <f>(I14/'Urban 20-21'!I14)-1</f>
        <v>2.2670155141570669E-2</v>
      </c>
      <c r="K14" s="16"/>
      <c r="M14" s="35">
        <f>85+43</f>
        <v>128</v>
      </c>
      <c r="N14" s="35">
        <f>98+85</f>
        <v>183</v>
      </c>
      <c r="O14" s="35">
        <f>53+72</f>
        <v>125</v>
      </c>
      <c r="P14" s="33">
        <f t="shared" si="0"/>
        <v>14515.2</v>
      </c>
      <c r="Q14" s="33">
        <f t="shared" si="0"/>
        <v>16506.600000000002</v>
      </c>
      <c r="R14" s="33">
        <f t="shared" si="0"/>
        <v>10325</v>
      </c>
      <c r="S14" s="33">
        <f t="shared" si="1"/>
        <v>436</v>
      </c>
      <c r="T14" s="33">
        <f t="shared" si="2"/>
        <v>41346.800000000003</v>
      </c>
      <c r="U14" s="34">
        <f t="shared" si="3"/>
        <v>94.832110091743132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136.80000000000001</v>
      </c>
      <c r="F15" s="18">
        <v>113.2</v>
      </c>
      <c r="G15" s="18">
        <v>94.8</v>
      </c>
      <c r="I15" s="18">
        <f t="shared" ref="I15:I32" si="4">U15</f>
        <v>122.74865424430644</v>
      </c>
      <c r="J15" s="42">
        <f>(I15/'Urban 20-21'!I15)-1</f>
        <v>4.6174107817255949E-2</v>
      </c>
      <c r="K15" s="16"/>
      <c r="M15" s="35">
        <f>170+80</f>
        <v>250</v>
      </c>
      <c r="N15" s="35">
        <f>100+63</f>
        <v>163</v>
      </c>
      <c r="O15" s="35">
        <f>38+32</f>
        <v>70</v>
      </c>
      <c r="P15" s="33">
        <f t="shared" si="0"/>
        <v>34200</v>
      </c>
      <c r="Q15" s="33">
        <f t="shared" si="0"/>
        <v>18451.600000000002</v>
      </c>
      <c r="R15" s="33">
        <f t="shared" si="0"/>
        <v>6636</v>
      </c>
      <c r="S15" s="33">
        <f t="shared" si="1"/>
        <v>483</v>
      </c>
      <c r="T15" s="33">
        <f t="shared" si="2"/>
        <v>59287.600000000006</v>
      </c>
      <c r="U15" s="34">
        <f t="shared" si="3"/>
        <v>122.74865424430644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147.4</v>
      </c>
      <c r="F16" s="18">
        <v>101.1</v>
      </c>
      <c r="G16" s="18">
        <v>92.5</v>
      </c>
      <c r="I16" s="18">
        <f t="shared" si="4"/>
        <v>114.74717194570135</v>
      </c>
      <c r="J16" s="42">
        <f>(I16/'Urban 20-21'!I16)-1</f>
        <v>1.895139200235807E-2</v>
      </c>
      <c r="K16" s="16"/>
      <c r="M16" s="35">
        <f>230+77</f>
        <v>307</v>
      </c>
      <c r="N16" s="35">
        <f>186+141</f>
        <v>327</v>
      </c>
      <c r="O16" s="35">
        <f>116+134</f>
        <v>250</v>
      </c>
      <c r="P16" s="33">
        <f t="shared" si="0"/>
        <v>45251.8</v>
      </c>
      <c r="Q16" s="33">
        <f t="shared" si="0"/>
        <v>33059.699999999997</v>
      </c>
      <c r="R16" s="33">
        <f t="shared" si="0"/>
        <v>23125</v>
      </c>
      <c r="S16" s="33">
        <f t="shared" si="1"/>
        <v>884</v>
      </c>
      <c r="T16" s="33">
        <f t="shared" si="2"/>
        <v>101436.5</v>
      </c>
      <c r="U16" s="34">
        <f t="shared" si="3"/>
        <v>114.74717194570135</v>
      </c>
    </row>
    <row r="17" spans="1:21" ht="13.5" customHeight="1" x14ac:dyDescent="0.2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163.5</v>
      </c>
      <c r="F18" s="18">
        <v>108.8</v>
      </c>
      <c r="G18" s="18">
        <v>99.7</v>
      </c>
      <c r="I18" s="18">
        <f t="shared" si="4"/>
        <v>130.42794547224926</v>
      </c>
      <c r="J18" s="42">
        <f>(I18/'Urban 20-21'!I18)-1</f>
        <v>2.304182634303209E-2</v>
      </c>
      <c r="K18" s="16"/>
      <c r="M18" s="35">
        <f>337+106</f>
        <v>443</v>
      </c>
      <c r="N18" s="35">
        <f>211+151</f>
        <v>362</v>
      </c>
      <c r="O18" s="35">
        <f>127+95</f>
        <v>222</v>
      </c>
      <c r="P18" s="33">
        <f t="shared" si="0"/>
        <v>72430.5</v>
      </c>
      <c r="Q18" s="33">
        <f t="shared" si="0"/>
        <v>39385.599999999999</v>
      </c>
      <c r="R18" s="33">
        <f t="shared" si="0"/>
        <v>22133.4</v>
      </c>
      <c r="S18" s="33">
        <f t="shared" si="1"/>
        <v>1027</v>
      </c>
      <c r="T18" s="33">
        <f t="shared" si="2"/>
        <v>133949.5</v>
      </c>
      <c r="U18" s="34">
        <f t="shared" si="3"/>
        <v>130.42794547224926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170</v>
      </c>
      <c r="F19" s="18">
        <v>126.8</v>
      </c>
      <c r="G19" s="18">
        <v>103.2</v>
      </c>
      <c r="I19" s="18">
        <f t="shared" si="4"/>
        <v>132.57165479018209</v>
      </c>
      <c r="J19" s="42">
        <f>(I19/'Urban 20-21'!I19)-1</f>
        <v>2.9171967248311725E-2</v>
      </c>
      <c r="K19" s="16"/>
      <c r="M19" s="35">
        <f>252+144</f>
        <v>396</v>
      </c>
      <c r="N19" s="35">
        <f>229+222</f>
        <v>451</v>
      </c>
      <c r="O19" s="35">
        <f>202+214</f>
        <v>416</v>
      </c>
      <c r="P19" s="33">
        <f t="shared" si="0"/>
        <v>67320</v>
      </c>
      <c r="Q19" s="33">
        <f t="shared" si="0"/>
        <v>57186.799999999996</v>
      </c>
      <c r="R19" s="33">
        <f t="shared" si="0"/>
        <v>42931.200000000004</v>
      </c>
      <c r="S19" s="33">
        <f t="shared" si="1"/>
        <v>1263</v>
      </c>
      <c r="T19" s="33">
        <f t="shared" si="2"/>
        <v>167438</v>
      </c>
      <c r="U19" s="34">
        <f t="shared" si="3"/>
        <v>132.57165479018209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122.4</v>
      </c>
      <c r="F20" s="18">
        <v>90.2</v>
      </c>
      <c r="G20" s="18">
        <v>78.599999999999994</v>
      </c>
      <c r="I20" s="18">
        <f t="shared" si="4"/>
        <v>96.068571428571417</v>
      </c>
      <c r="J20" s="42">
        <f>(I20/'Urban 20-21'!I20)-1</f>
        <v>9.0618592980715729E-3</v>
      </c>
      <c r="K20" s="16"/>
      <c r="M20" s="35">
        <f>168+82</f>
        <v>250</v>
      </c>
      <c r="N20" s="35">
        <f>164+157</f>
        <v>321</v>
      </c>
      <c r="O20" s="35">
        <f>102+167</f>
        <v>269</v>
      </c>
      <c r="P20" s="33">
        <f t="shared" si="0"/>
        <v>30600</v>
      </c>
      <c r="Q20" s="33">
        <f t="shared" si="0"/>
        <v>28954.2</v>
      </c>
      <c r="R20" s="33">
        <f t="shared" si="0"/>
        <v>21143.399999999998</v>
      </c>
      <c r="S20" s="33">
        <f t="shared" si="1"/>
        <v>840</v>
      </c>
      <c r="T20" s="33">
        <f t="shared" si="2"/>
        <v>80697.599999999991</v>
      </c>
      <c r="U20" s="34">
        <f t="shared" si="3"/>
        <v>96.068571428571417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145.4</v>
      </c>
      <c r="F21" s="18">
        <v>114.4</v>
      </c>
      <c r="G21" s="18">
        <v>89.8</v>
      </c>
      <c r="I21" s="18">
        <f t="shared" si="4"/>
        <v>116.16120689655173</v>
      </c>
      <c r="J21" s="42">
        <f>(I21/'Urban 20-21'!I21)-1</f>
        <v>-7.0744798719072355E-3</v>
      </c>
      <c r="K21" s="16"/>
      <c r="M21" s="35">
        <f>72+48</f>
        <v>120</v>
      </c>
      <c r="N21" s="35">
        <f>114+112</f>
        <v>226</v>
      </c>
      <c r="O21" s="35">
        <f>51+67</f>
        <v>118</v>
      </c>
      <c r="P21" s="33">
        <f t="shared" si="0"/>
        <v>17448</v>
      </c>
      <c r="Q21" s="33">
        <f t="shared" si="0"/>
        <v>25854.400000000001</v>
      </c>
      <c r="R21" s="33">
        <f t="shared" si="0"/>
        <v>10596.4</v>
      </c>
      <c r="S21" s="33">
        <f t="shared" si="1"/>
        <v>464</v>
      </c>
      <c r="T21" s="33">
        <f t="shared" si="2"/>
        <v>53898.8</v>
      </c>
      <c r="U21" s="34">
        <f t="shared" si="3"/>
        <v>116.16120689655173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112.5</v>
      </c>
      <c r="F22" s="18">
        <v>84.7</v>
      </c>
      <c r="G22" s="18">
        <v>76.2</v>
      </c>
      <c r="I22" s="18">
        <f>U22</f>
        <v>89.615652173913048</v>
      </c>
      <c r="J22" s="42">
        <f>(I22/'Urban 20-21'!I22)-1</f>
        <v>2.0749666663436361E-2</v>
      </c>
      <c r="K22" s="16"/>
      <c r="M22" s="35">
        <f>121+75</f>
        <v>196</v>
      </c>
      <c r="N22" s="35">
        <f>143+109</f>
        <v>252</v>
      </c>
      <c r="O22" s="35">
        <f>108+134</f>
        <v>242</v>
      </c>
      <c r="P22" s="33">
        <f t="shared" si="0"/>
        <v>22050</v>
      </c>
      <c r="Q22" s="33">
        <f t="shared" si="0"/>
        <v>21344.400000000001</v>
      </c>
      <c r="R22" s="33">
        <f t="shared" si="0"/>
        <v>18440.400000000001</v>
      </c>
      <c r="S22" s="33">
        <f t="shared" si="1"/>
        <v>690</v>
      </c>
      <c r="T22" s="33">
        <f t="shared" si="2"/>
        <v>61834.8</v>
      </c>
      <c r="U22" s="34">
        <f t="shared" si="3"/>
        <v>89.615652173913048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109.5</v>
      </c>
      <c r="F23" s="23">
        <v>88.1</v>
      </c>
      <c r="G23" s="23">
        <v>78.8</v>
      </c>
      <c r="H23" s="22"/>
      <c r="I23" s="23">
        <f t="shared" si="4"/>
        <v>92.032786885245898</v>
      </c>
      <c r="J23" s="44">
        <f>(I23/'Urban 20-21'!I23)-1</f>
        <v>2.208425731996555E-2</v>
      </c>
      <c r="K23" s="16"/>
      <c r="M23" s="35">
        <f>91+63</f>
        <v>154</v>
      </c>
      <c r="N23" s="35">
        <f>102+84</f>
        <v>186</v>
      </c>
      <c r="O23" s="35">
        <f>66+82</f>
        <v>148</v>
      </c>
      <c r="P23" s="33">
        <f t="shared" si="0"/>
        <v>16863</v>
      </c>
      <c r="Q23" s="33">
        <f t="shared" si="0"/>
        <v>16386.599999999999</v>
      </c>
      <c r="R23" s="33">
        <f t="shared" si="0"/>
        <v>11662.4</v>
      </c>
      <c r="S23" s="33">
        <f t="shared" si="1"/>
        <v>488</v>
      </c>
      <c r="T23" s="33">
        <f t="shared" si="2"/>
        <v>44912</v>
      </c>
      <c r="U23" s="34">
        <f t="shared" si="3"/>
        <v>92.032786885245898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103.1</v>
      </c>
      <c r="F24" s="23">
        <v>80.8</v>
      </c>
      <c r="G24" s="23">
        <v>72.2</v>
      </c>
      <c r="H24" s="22"/>
      <c r="I24" s="23">
        <f t="shared" si="4"/>
        <v>85.301366120218589</v>
      </c>
      <c r="J24" s="44">
        <f>(I24/'Urban 20-21'!I24)-1</f>
        <v>1.7309077164204822E-2</v>
      </c>
      <c r="K24" s="16"/>
      <c r="M24" s="35">
        <f>65+54</f>
        <v>119</v>
      </c>
      <c r="N24" s="35">
        <f>60+70</f>
        <v>130</v>
      </c>
      <c r="O24" s="35">
        <f>35+82</f>
        <v>117</v>
      </c>
      <c r="P24" s="33">
        <f t="shared" si="0"/>
        <v>12268.9</v>
      </c>
      <c r="Q24" s="33">
        <f t="shared" si="0"/>
        <v>10504</v>
      </c>
      <c r="R24" s="33">
        <f t="shared" si="0"/>
        <v>8447.4</v>
      </c>
      <c r="S24" s="33">
        <f t="shared" si="1"/>
        <v>366</v>
      </c>
      <c r="T24" s="33">
        <f t="shared" si="2"/>
        <v>31220.300000000003</v>
      </c>
      <c r="U24" s="34">
        <f t="shared" si="3"/>
        <v>85.301366120218589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95.4</v>
      </c>
      <c r="F25" s="18">
        <v>78.2</v>
      </c>
      <c r="G25" s="18">
        <v>77.900000000000006</v>
      </c>
      <c r="I25" s="18">
        <f t="shared" si="4"/>
        <v>85.308673469387756</v>
      </c>
      <c r="J25" s="42">
        <f>(I25/'Urban 20-21'!I25)-1</f>
        <v>3.6082333205974315E-2</v>
      </c>
      <c r="K25" s="16"/>
      <c r="M25" s="35">
        <f>62+20</f>
        <v>82</v>
      </c>
      <c r="N25" s="35">
        <f>38+19</f>
        <v>57</v>
      </c>
      <c r="O25" s="35">
        <f>36+21</f>
        <v>57</v>
      </c>
      <c r="P25" s="33">
        <f t="shared" si="0"/>
        <v>7822.8</v>
      </c>
      <c r="Q25" s="33">
        <f t="shared" si="0"/>
        <v>4457.4000000000005</v>
      </c>
      <c r="R25" s="33">
        <f t="shared" si="0"/>
        <v>4440.3</v>
      </c>
      <c r="S25" s="33">
        <f t="shared" si="1"/>
        <v>196</v>
      </c>
      <c r="T25" s="33">
        <f t="shared" si="2"/>
        <v>16720.5</v>
      </c>
      <c r="U25" s="34">
        <f t="shared" si="3"/>
        <v>85.308673469387756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158.69999999999999</v>
      </c>
      <c r="F26" s="18">
        <v>105.3</v>
      </c>
      <c r="G26" s="18">
        <v>88.9</v>
      </c>
      <c r="I26" s="18">
        <f t="shared" si="4"/>
        <v>117.13351800554015</v>
      </c>
      <c r="J26" s="42">
        <f>(I26/'Urban 20-21'!I26)-1</f>
        <v>-3.8157984692737124E-3</v>
      </c>
      <c r="K26" s="16"/>
      <c r="M26" s="35">
        <f>323+157</f>
        <v>480</v>
      </c>
      <c r="N26" s="35">
        <f>234+209</f>
        <v>443</v>
      </c>
      <c r="O26" s="35">
        <f>233+288</f>
        <v>521</v>
      </c>
      <c r="P26" s="33">
        <f t="shared" si="0"/>
        <v>76176</v>
      </c>
      <c r="Q26" s="33">
        <f t="shared" si="0"/>
        <v>46647.9</v>
      </c>
      <c r="R26" s="33">
        <f t="shared" si="0"/>
        <v>46316.9</v>
      </c>
      <c r="S26" s="33">
        <f t="shared" si="1"/>
        <v>1444</v>
      </c>
      <c r="T26" s="33">
        <f t="shared" si="2"/>
        <v>169140.8</v>
      </c>
      <c r="U26" s="34">
        <f t="shared" si="3"/>
        <v>117.13351800554015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121.7</v>
      </c>
      <c r="F27" s="18">
        <v>93.4</v>
      </c>
      <c r="G27" s="18">
        <v>78.599999999999994</v>
      </c>
      <c r="I27" s="18">
        <f t="shared" si="4"/>
        <v>99.182092198581572</v>
      </c>
      <c r="J27" s="42">
        <f>(I27/'Urban 20-21'!I27)-1</f>
        <v>7.0992709945902899E-3</v>
      </c>
      <c r="K27" s="16"/>
      <c r="M27" s="35">
        <f>127+74</f>
        <v>201</v>
      </c>
      <c r="N27" s="35">
        <f>105+94</f>
        <v>199</v>
      </c>
      <c r="O27" s="35">
        <f>62+102</f>
        <v>164</v>
      </c>
      <c r="P27" s="33">
        <f t="shared" si="0"/>
        <v>24461.7</v>
      </c>
      <c r="Q27" s="33">
        <f t="shared" si="0"/>
        <v>18586.600000000002</v>
      </c>
      <c r="R27" s="33">
        <f t="shared" si="0"/>
        <v>12890.4</v>
      </c>
      <c r="S27" s="33">
        <f t="shared" si="1"/>
        <v>564</v>
      </c>
      <c r="T27" s="33">
        <f t="shared" si="2"/>
        <v>55938.700000000004</v>
      </c>
      <c r="U27" s="34">
        <f t="shared" si="3"/>
        <v>99.182092198581572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167.9</v>
      </c>
      <c r="F28" s="18">
        <v>113.5</v>
      </c>
      <c r="G28" s="18">
        <v>93</v>
      </c>
      <c r="I28" s="18">
        <f t="shared" si="4"/>
        <v>120.38780327868854</v>
      </c>
      <c r="J28" s="42">
        <f>(I28/'Urban 20-21'!I28)-1</f>
        <v>1.9517572425446161E-2</v>
      </c>
      <c r="K28" s="16"/>
      <c r="M28" s="35">
        <f>272+134</f>
        <v>406</v>
      </c>
      <c r="N28" s="35">
        <f>299+255</f>
        <v>554</v>
      </c>
      <c r="O28" s="35">
        <f>272+293</f>
        <v>565</v>
      </c>
      <c r="P28" s="33">
        <f t="shared" si="0"/>
        <v>68167.400000000009</v>
      </c>
      <c r="Q28" s="33">
        <f t="shared" si="0"/>
        <v>62879</v>
      </c>
      <c r="R28" s="33">
        <f t="shared" si="0"/>
        <v>52545</v>
      </c>
      <c r="S28" s="33">
        <f t="shared" si="1"/>
        <v>1525</v>
      </c>
      <c r="T28" s="33">
        <f t="shared" si="2"/>
        <v>183591.40000000002</v>
      </c>
      <c r="U28" s="34">
        <f t="shared" si="3"/>
        <v>120.38780327868854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114.8</v>
      </c>
      <c r="F29" s="18">
        <v>94.6</v>
      </c>
      <c r="G29" s="18">
        <v>87.7</v>
      </c>
      <c r="I29" s="18">
        <f t="shared" si="4"/>
        <v>101.36931818181819</v>
      </c>
      <c r="J29" s="42">
        <f>(I29/'Urban 20-21'!I29)-1</f>
        <v>1.4444335257265628E-2</v>
      </c>
      <c r="K29" s="16"/>
      <c r="M29" s="35">
        <f>124+60</f>
        <v>184</v>
      </c>
      <c r="N29" s="35">
        <f>93+56</f>
        <v>149</v>
      </c>
      <c r="O29" s="35">
        <f>47+60</f>
        <v>107</v>
      </c>
      <c r="P29" s="33">
        <f t="shared" si="0"/>
        <v>21123.200000000001</v>
      </c>
      <c r="Q29" s="33">
        <f t="shared" si="0"/>
        <v>14095.4</v>
      </c>
      <c r="R29" s="33">
        <f t="shared" si="0"/>
        <v>9383.9</v>
      </c>
      <c r="S29" s="33">
        <f t="shared" si="1"/>
        <v>440</v>
      </c>
      <c r="T29" s="33">
        <f t="shared" si="2"/>
        <v>44602.5</v>
      </c>
      <c r="U29" s="34">
        <f t="shared" si="3"/>
        <v>101.36931818181819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154</v>
      </c>
      <c r="F30" s="18">
        <v>102.8</v>
      </c>
      <c r="G30" s="18">
        <v>79</v>
      </c>
      <c r="I30" s="18">
        <f t="shared" si="4"/>
        <v>103.61200338123415</v>
      </c>
      <c r="J30" s="42">
        <f>(I30/'Urban 20-21'!I30)-1</f>
        <v>0.1046957450078827</v>
      </c>
      <c r="K30" s="16"/>
      <c r="M30" s="35">
        <f>171+76</f>
        <v>247</v>
      </c>
      <c r="N30" s="35">
        <f>224+221</f>
        <v>445</v>
      </c>
      <c r="O30" s="35">
        <f>223+268</f>
        <v>491</v>
      </c>
      <c r="P30" s="33">
        <f t="shared" si="0"/>
        <v>38038</v>
      </c>
      <c r="Q30" s="33">
        <f t="shared" si="0"/>
        <v>45746</v>
      </c>
      <c r="R30" s="33">
        <f t="shared" si="0"/>
        <v>38789</v>
      </c>
      <c r="S30" s="33">
        <f t="shared" si="1"/>
        <v>1183</v>
      </c>
      <c r="T30" s="33">
        <f t="shared" si="2"/>
        <v>122573</v>
      </c>
      <c r="U30" s="34">
        <f t="shared" si="3"/>
        <v>103.61200338123415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138.6</v>
      </c>
      <c r="F31" s="18">
        <v>102.9</v>
      </c>
      <c r="G31" s="18">
        <v>89.9</v>
      </c>
      <c r="I31" s="18">
        <f t="shared" si="4"/>
        <v>111.21578947368423</v>
      </c>
      <c r="J31" s="42">
        <f>(I31/'Urban 20-21'!I31)-1</f>
        <v>-2.9933518878445531E-3</v>
      </c>
      <c r="K31" s="16"/>
      <c r="M31" s="35">
        <f>188+82</f>
        <v>270</v>
      </c>
      <c r="N31" s="35">
        <f>140+157</f>
        <v>297</v>
      </c>
      <c r="O31" s="35">
        <f>103+128</f>
        <v>231</v>
      </c>
      <c r="P31" s="33">
        <f t="shared" si="0"/>
        <v>37422</v>
      </c>
      <c r="Q31" s="33">
        <f t="shared" si="0"/>
        <v>30561.300000000003</v>
      </c>
      <c r="R31" s="33">
        <f t="shared" si="0"/>
        <v>20766.900000000001</v>
      </c>
      <c r="S31" s="33">
        <f t="shared" si="1"/>
        <v>798</v>
      </c>
      <c r="T31" s="33">
        <f t="shared" si="2"/>
        <v>88750.200000000012</v>
      </c>
      <c r="U31" s="34">
        <f t="shared" si="3"/>
        <v>111.21578947368423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111.5</v>
      </c>
      <c r="F32" s="18">
        <v>84.3</v>
      </c>
      <c r="G32" s="18">
        <v>83.9</v>
      </c>
      <c r="I32" s="18">
        <f t="shared" si="4"/>
        <v>93.629648241206027</v>
      </c>
      <c r="J32" s="42">
        <f>(I32/'Urban 20-21'!I32)-1</f>
        <v>2.8373094288620671E-2</v>
      </c>
      <c r="K32" s="16"/>
      <c r="M32" s="35">
        <f>181+94</f>
        <v>275</v>
      </c>
      <c r="N32" s="35">
        <f>219+168</f>
        <v>387</v>
      </c>
      <c r="O32" s="35">
        <f>46+88</f>
        <v>134</v>
      </c>
      <c r="P32" s="33">
        <f t="shared" si="0"/>
        <v>30662.5</v>
      </c>
      <c r="Q32" s="33">
        <f t="shared" si="0"/>
        <v>32624.1</v>
      </c>
      <c r="R32" s="33">
        <f t="shared" si="0"/>
        <v>11242.6</v>
      </c>
      <c r="S32" s="33">
        <f t="shared" si="1"/>
        <v>796</v>
      </c>
      <c r="T32" s="33">
        <f t="shared" si="2"/>
        <v>74529.2</v>
      </c>
      <c r="U32" s="34">
        <f t="shared" si="3"/>
        <v>93.629648241206027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140.8689634979504</v>
      </c>
      <c r="F34" s="38">
        <f>Q34/N34</f>
        <v>101.48612160769497</v>
      </c>
      <c r="G34" s="38">
        <f t="shared" ref="G34" si="5">R34/O34</f>
        <v>86.796941707717579</v>
      </c>
      <c r="H34" s="36"/>
      <c r="I34" s="38">
        <f t="shared" ref="I34" si="6">U34</f>
        <v>109.71730416640322</v>
      </c>
      <c r="J34" s="43">
        <f>(I34/'Urban 20-21'!I34)-1</f>
        <v>2.2600204917837319E-2</v>
      </c>
      <c r="K34" s="16"/>
      <c r="M34" s="37">
        <f t="shared" ref="M34:R34" si="7">SUM(M12:M32)</f>
        <v>5123</v>
      </c>
      <c r="N34" s="37">
        <f t="shared" si="7"/>
        <v>5822</v>
      </c>
      <c r="O34" s="37">
        <f t="shared" si="7"/>
        <v>4872</v>
      </c>
      <c r="P34" s="37">
        <f t="shared" si="7"/>
        <v>721671.7</v>
      </c>
      <c r="Q34" s="37">
        <f t="shared" si="7"/>
        <v>590852.20000000007</v>
      </c>
      <c r="R34" s="37">
        <f t="shared" si="7"/>
        <v>422874.7</v>
      </c>
      <c r="S34" s="33">
        <f>M34+N34+O34</f>
        <v>15817</v>
      </c>
      <c r="T34" s="33">
        <f>P34+Q34+R34</f>
        <v>1735398.5999999999</v>
      </c>
      <c r="U34" s="34">
        <f>T34/S34</f>
        <v>109.71730416640322</v>
      </c>
    </row>
    <row r="35" spans="1:21" ht="13.5" customHeight="1" x14ac:dyDescent="0.2">
      <c r="A35" s="17"/>
      <c r="D35" s="41" t="s">
        <v>44</v>
      </c>
      <c r="E35" s="38">
        <f>MEDIAN(E12:E32)</f>
        <v>134.10000000000002</v>
      </c>
      <c r="F35" s="38">
        <f>MEDIAN(F12:F32)</f>
        <v>98.55</v>
      </c>
      <c r="G35" s="38">
        <f>MEDIAN(G12:G32)</f>
        <v>85.7</v>
      </c>
      <c r="H35" s="36"/>
      <c r="I35" s="38">
        <f>MEDIAN(I12:I32)</f>
        <v>102.86636851677338</v>
      </c>
      <c r="J35" s="43">
        <f>(I35/'Urban 20-21'!I35)-1</f>
        <v>3.1829190052207856E-2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62</v>
      </c>
      <c r="K38" s="16"/>
    </row>
    <row r="39" spans="1:21" ht="13.5" customHeight="1" x14ac:dyDescent="0.2">
      <c r="A39" s="17"/>
      <c r="B39" s="14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78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0FCC-523A-456F-8A97-AC45EA86CBE6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75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154.69999999999999</v>
      </c>
      <c r="F12" s="18">
        <v>98.3</v>
      </c>
      <c r="G12" s="18">
        <v>84.2</v>
      </c>
      <c r="I12" s="18">
        <f>U12</f>
        <v>110.92492307692308</v>
      </c>
      <c r="J12" s="42">
        <f>(I12/'Urban 19-20'!I12)-1</f>
        <v>3.230808057855894E-2</v>
      </c>
      <c r="K12" s="16"/>
      <c r="M12" s="35">
        <f>125+76</f>
        <v>201</v>
      </c>
      <c r="N12" s="35">
        <f>118+109</f>
        <v>227</v>
      </c>
      <c r="O12" s="35">
        <f>82+140</f>
        <v>222</v>
      </c>
      <c r="P12" s="33">
        <f t="shared" ref="P12:R32" si="0">E12*M12</f>
        <v>31094.699999999997</v>
      </c>
      <c r="Q12" s="33">
        <f t="shared" si="0"/>
        <v>22314.1</v>
      </c>
      <c r="R12" s="33">
        <f t="shared" si="0"/>
        <v>18692.400000000001</v>
      </c>
      <c r="S12" s="33">
        <f t="shared" ref="S12:S32" si="1">M12+N12+O12</f>
        <v>650</v>
      </c>
      <c r="T12" s="33">
        <f t="shared" ref="T12:T32" si="2">P12+Q12+R12</f>
        <v>72101.2</v>
      </c>
      <c r="U12" s="34">
        <f>T12/S12</f>
        <v>110.92492307692308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129.30000000000001</v>
      </c>
      <c r="F13" s="18">
        <v>93.4</v>
      </c>
      <c r="G13" s="18">
        <v>75.900000000000006</v>
      </c>
      <c r="I13" s="18">
        <f>U13</f>
        <v>99.460474308300405</v>
      </c>
      <c r="J13" s="42">
        <f>(I13/'Urban 19-20'!I13)-1</f>
        <v>1.1248687556059345E-2</v>
      </c>
      <c r="K13" s="16"/>
      <c r="M13" s="35">
        <f>265+145</f>
        <v>410</v>
      </c>
      <c r="N13" s="35">
        <f>240+212</f>
        <v>452</v>
      </c>
      <c r="O13" s="35">
        <f>177+226</f>
        <v>403</v>
      </c>
      <c r="P13" s="33">
        <f t="shared" si="0"/>
        <v>53013.000000000007</v>
      </c>
      <c r="Q13" s="33">
        <f t="shared" si="0"/>
        <v>42216.800000000003</v>
      </c>
      <c r="R13" s="33">
        <f t="shared" si="0"/>
        <v>30587.7</v>
      </c>
      <c r="S13" s="33">
        <f t="shared" si="1"/>
        <v>1265</v>
      </c>
      <c r="T13" s="33">
        <f t="shared" si="2"/>
        <v>125817.50000000001</v>
      </c>
      <c r="U13" s="34">
        <f t="shared" ref="U13:U32" si="3">T13/S13</f>
        <v>99.460474308300405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109.3</v>
      </c>
      <c r="F14" s="18">
        <v>87</v>
      </c>
      <c r="G14" s="18">
        <v>82</v>
      </c>
      <c r="I14" s="18">
        <f>U14</f>
        <v>92.729908675799081</v>
      </c>
      <c r="J14" s="42">
        <f>(I14/'Urban 19-20'!I14)-1</f>
        <v>-7.2906375757595399E-3</v>
      </c>
      <c r="K14" s="16"/>
      <c r="M14" s="35">
        <f>93+46</f>
        <v>139</v>
      </c>
      <c r="N14" s="35">
        <f>97+84</f>
        <v>181</v>
      </c>
      <c r="O14" s="35">
        <f>47+71</f>
        <v>118</v>
      </c>
      <c r="P14" s="33">
        <f t="shared" si="0"/>
        <v>15192.699999999999</v>
      </c>
      <c r="Q14" s="33">
        <f t="shared" si="0"/>
        <v>15747</v>
      </c>
      <c r="R14" s="33">
        <f t="shared" si="0"/>
        <v>9676</v>
      </c>
      <c r="S14" s="33">
        <f t="shared" si="1"/>
        <v>438</v>
      </c>
      <c r="T14" s="33">
        <f t="shared" si="2"/>
        <v>40615.699999999997</v>
      </c>
      <c r="U14" s="34">
        <f t="shared" si="3"/>
        <v>92.729908675799081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131.19999999999999</v>
      </c>
      <c r="F15" s="18">
        <v>107.7</v>
      </c>
      <c r="G15" s="18">
        <v>92.2</v>
      </c>
      <c r="I15" s="18">
        <f t="shared" ref="I15:I32" si="4">U15</f>
        <v>117.33099999999999</v>
      </c>
      <c r="J15" s="42">
        <f>(I15/'Urban 19-20'!I15)-1</f>
        <v>4.6520068610634624E-2</v>
      </c>
      <c r="K15" s="16"/>
      <c r="M15" s="35">
        <f>175+84</f>
        <v>259</v>
      </c>
      <c r="N15" s="35">
        <f>94+65</f>
        <v>159</v>
      </c>
      <c r="O15" s="35">
        <f>45+37</f>
        <v>82</v>
      </c>
      <c r="P15" s="33">
        <f t="shared" si="0"/>
        <v>33980.799999999996</v>
      </c>
      <c r="Q15" s="33">
        <f t="shared" si="0"/>
        <v>17124.3</v>
      </c>
      <c r="R15" s="33">
        <f t="shared" si="0"/>
        <v>7560.4000000000005</v>
      </c>
      <c r="S15" s="33">
        <f t="shared" si="1"/>
        <v>500</v>
      </c>
      <c r="T15" s="33">
        <f t="shared" si="2"/>
        <v>58665.499999999993</v>
      </c>
      <c r="U15" s="34">
        <f t="shared" si="3"/>
        <v>117.33099999999999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145.30000000000001</v>
      </c>
      <c r="F16" s="18">
        <v>101.1</v>
      </c>
      <c r="G16" s="18">
        <v>91.2</v>
      </c>
      <c r="I16" s="18">
        <f t="shared" si="4"/>
        <v>112.61299885974915</v>
      </c>
      <c r="J16" s="42">
        <f>(I16/'Urban 19-20'!I16)-1</f>
        <v>2.1479476398288844E-2</v>
      </c>
      <c r="K16" s="16"/>
      <c r="M16" s="35">
        <f>214+72</f>
        <v>286</v>
      </c>
      <c r="N16" s="35">
        <f>195+139</f>
        <v>334</v>
      </c>
      <c r="O16" s="35">
        <f>121+136</f>
        <v>257</v>
      </c>
      <c r="P16" s="33">
        <f t="shared" si="0"/>
        <v>41555.800000000003</v>
      </c>
      <c r="Q16" s="33">
        <f t="shared" si="0"/>
        <v>33767.4</v>
      </c>
      <c r="R16" s="33">
        <f t="shared" si="0"/>
        <v>23438.400000000001</v>
      </c>
      <c r="S16" s="33">
        <f t="shared" si="1"/>
        <v>877</v>
      </c>
      <c r="T16" s="33">
        <f t="shared" si="2"/>
        <v>98761.600000000006</v>
      </c>
      <c r="U16" s="34">
        <f t="shared" si="3"/>
        <v>112.61299885974915</v>
      </c>
    </row>
    <row r="17" spans="1:21" ht="13.5" customHeight="1" x14ac:dyDescent="0.2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160.30000000000001</v>
      </c>
      <c r="F18" s="18">
        <v>105.7</v>
      </c>
      <c r="G18" s="18">
        <v>95.1</v>
      </c>
      <c r="I18" s="18">
        <f t="shared" si="4"/>
        <v>127.49033530571994</v>
      </c>
      <c r="J18" s="42">
        <f>(I18/'Urban 19-20'!I18)-1</f>
        <v>3.5298136679990932E-3</v>
      </c>
      <c r="K18" s="16"/>
      <c r="M18" s="35">
        <f>335+112</f>
        <v>447</v>
      </c>
      <c r="N18" s="35">
        <f>207+142</f>
        <v>349</v>
      </c>
      <c r="O18" s="35">
        <f>117+101</f>
        <v>218</v>
      </c>
      <c r="P18" s="33">
        <f t="shared" si="0"/>
        <v>71654.100000000006</v>
      </c>
      <c r="Q18" s="33">
        <f t="shared" si="0"/>
        <v>36889.300000000003</v>
      </c>
      <c r="R18" s="33">
        <f t="shared" si="0"/>
        <v>20731.8</v>
      </c>
      <c r="S18" s="33">
        <f t="shared" si="1"/>
        <v>1014</v>
      </c>
      <c r="T18" s="33">
        <f t="shared" si="2"/>
        <v>129275.20000000001</v>
      </c>
      <c r="U18" s="34">
        <f t="shared" si="3"/>
        <v>127.49033530571994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165.6</v>
      </c>
      <c r="F19" s="18">
        <v>121.3</v>
      </c>
      <c r="G19" s="18">
        <v>101.3</v>
      </c>
      <c r="I19" s="18">
        <f t="shared" si="4"/>
        <v>128.81389992057186</v>
      </c>
      <c r="J19" s="42">
        <f>(I19/'Urban 19-20'!I19)-1</f>
        <v>2.7944513843504826E-2</v>
      </c>
      <c r="K19" s="16"/>
      <c r="M19" s="35">
        <f>259+141</f>
        <v>400</v>
      </c>
      <c r="N19" s="35">
        <f>223+223</f>
        <v>446</v>
      </c>
      <c r="O19" s="35">
        <f>208+205</f>
        <v>413</v>
      </c>
      <c r="P19" s="33">
        <f t="shared" si="0"/>
        <v>66240</v>
      </c>
      <c r="Q19" s="33">
        <f t="shared" si="0"/>
        <v>54099.799999999996</v>
      </c>
      <c r="R19" s="33">
        <f t="shared" si="0"/>
        <v>41836.9</v>
      </c>
      <c r="S19" s="33">
        <f t="shared" si="1"/>
        <v>1259</v>
      </c>
      <c r="T19" s="33">
        <f t="shared" si="2"/>
        <v>162176.69999999998</v>
      </c>
      <c r="U19" s="34">
        <f t="shared" si="3"/>
        <v>128.81389992057186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124.6</v>
      </c>
      <c r="F20" s="18">
        <v>89.2</v>
      </c>
      <c r="G20" s="18">
        <v>77</v>
      </c>
      <c r="I20" s="18">
        <f t="shared" si="4"/>
        <v>95.205829596412556</v>
      </c>
      <c r="J20" s="42">
        <f>(I20/'Urban 19-20'!I20)-1</f>
        <v>-8.4277731203310502E-3</v>
      </c>
      <c r="K20" s="16"/>
      <c r="M20" s="35">
        <f>169+84</f>
        <v>253</v>
      </c>
      <c r="N20" s="35">
        <f>177+167</f>
        <v>344</v>
      </c>
      <c r="O20" s="35">
        <f>108+187</f>
        <v>295</v>
      </c>
      <c r="P20" s="33">
        <f t="shared" si="0"/>
        <v>31523.8</v>
      </c>
      <c r="Q20" s="33">
        <f t="shared" si="0"/>
        <v>30684.799999999999</v>
      </c>
      <c r="R20" s="33">
        <f t="shared" si="0"/>
        <v>22715</v>
      </c>
      <c r="S20" s="33">
        <f t="shared" si="1"/>
        <v>892</v>
      </c>
      <c r="T20" s="33">
        <f t="shared" si="2"/>
        <v>84923.6</v>
      </c>
      <c r="U20" s="34">
        <f t="shared" si="3"/>
        <v>95.205829596412556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147.69999999999999</v>
      </c>
      <c r="F21" s="18">
        <v>114.9</v>
      </c>
      <c r="G21" s="18">
        <v>90.3</v>
      </c>
      <c r="I21" s="18">
        <f t="shared" si="4"/>
        <v>116.98884210526315</v>
      </c>
      <c r="J21" s="42">
        <f>(I21/'Urban 19-20'!I21)-1</f>
        <v>-6.2021049243069504E-3</v>
      </c>
      <c r="K21" s="16"/>
      <c r="M21" s="35">
        <f>70+51</f>
        <v>121</v>
      </c>
      <c r="N21" s="35">
        <f>117+116</f>
        <v>233</v>
      </c>
      <c r="O21" s="35">
        <f>55+66</f>
        <v>121</v>
      </c>
      <c r="P21" s="33">
        <f t="shared" si="0"/>
        <v>17871.699999999997</v>
      </c>
      <c r="Q21" s="33">
        <f t="shared" si="0"/>
        <v>26771.7</v>
      </c>
      <c r="R21" s="33">
        <f t="shared" si="0"/>
        <v>10926.3</v>
      </c>
      <c r="S21" s="33">
        <f t="shared" si="1"/>
        <v>475</v>
      </c>
      <c r="T21" s="33">
        <f t="shared" si="2"/>
        <v>55569.7</v>
      </c>
      <c r="U21" s="34">
        <f t="shared" si="3"/>
        <v>116.98884210526315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109.7</v>
      </c>
      <c r="F22" s="18">
        <v>82.3</v>
      </c>
      <c r="G22" s="18">
        <v>75.8</v>
      </c>
      <c r="I22" s="18">
        <f>U22</f>
        <v>87.793956834532381</v>
      </c>
      <c r="J22" s="42">
        <f>(I22/'Urban 19-20'!I22)-1</f>
        <v>7.9493269258452681E-3</v>
      </c>
      <c r="K22" s="16"/>
      <c r="M22" s="35">
        <f>131+66</f>
        <v>197</v>
      </c>
      <c r="N22" s="35">
        <f>140+115</f>
        <v>255</v>
      </c>
      <c r="O22" s="35">
        <f>110+133</f>
        <v>243</v>
      </c>
      <c r="P22" s="33">
        <f t="shared" si="0"/>
        <v>21610.9</v>
      </c>
      <c r="Q22" s="33">
        <f t="shared" si="0"/>
        <v>20986.5</v>
      </c>
      <c r="R22" s="33">
        <f t="shared" si="0"/>
        <v>18419.399999999998</v>
      </c>
      <c r="S22" s="33">
        <f t="shared" si="1"/>
        <v>695</v>
      </c>
      <c r="T22" s="33">
        <f t="shared" si="2"/>
        <v>61016.800000000003</v>
      </c>
      <c r="U22" s="34">
        <f t="shared" si="3"/>
        <v>87.793956834532381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110.7</v>
      </c>
      <c r="F23" s="23">
        <v>85</v>
      </c>
      <c r="G23" s="23">
        <v>77.8</v>
      </c>
      <c r="H23" s="22"/>
      <c r="I23" s="23">
        <f t="shared" si="4"/>
        <v>90.044227005870852</v>
      </c>
      <c r="J23" s="44">
        <f>(I23/'Urban 19-20'!I23)-1</f>
        <v>2.1670050735265622E-2</v>
      </c>
      <c r="K23" s="16"/>
      <c r="M23" s="35">
        <f>87+57</f>
        <v>144</v>
      </c>
      <c r="N23" s="35">
        <f>115+96</f>
        <v>211</v>
      </c>
      <c r="O23" s="35">
        <f>64+92</f>
        <v>156</v>
      </c>
      <c r="P23" s="33">
        <f t="shared" si="0"/>
        <v>15940.800000000001</v>
      </c>
      <c r="Q23" s="33">
        <f t="shared" si="0"/>
        <v>17935</v>
      </c>
      <c r="R23" s="33">
        <f t="shared" si="0"/>
        <v>12136.8</v>
      </c>
      <c r="S23" s="33">
        <f t="shared" si="1"/>
        <v>511</v>
      </c>
      <c r="T23" s="33">
        <f t="shared" si="2"/>
        <v>46012.600000000006</v>
      </c>
      <c r="U23" s="34">
        <f t="shared" si="3"/>
        <v>90.044227005870852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103.5</v>
      </c>
      <c r="F24" s="23">
        <v>79.2</v>
      </c>
      <c r="G24" s="23">
        <v>71.7</v>
      </c>
      <c r="H24" s="22"/>
      <c r="I24" s="23">
        <f t="shared" si="4"/>
        <v>83.850000000000009</v>
      </c>
      <c r="J24" s="44">
        <f>(I24/'Urban 19-20'!I24)-1</f>
        <v>2.5518199075077019E-2</v>
      </c>
      <c r="K24" s="16"/>
      <c r="M24" s="35">
        <f>65+52</f>
        <v>117</v>
      </c>
      <c r="N24" s="35">
        <f>57+69</f>
        <v>126</v>
      </c>
      <c r="O24" s="35">
        <f>45+96</f>
        <v>141</v>
      </c>
      <c r="P24" s="33">
        <f t="shared" si="0"/>
        <v>12109.5</v>
      </c>
      <c r="Q24" s="33">
        <f t="shared" si="0"/>
        <v>9979.2000000000007</v>
      </c>
      <c r="R24" s="33">
        <f t="shared" si="0"/>
        <v>10109.700000000001</v>
      </c>
      <c r="S24" s="33">
        <f t="shared" si="1"/>
        <v>384</v>
      </c>
      <c r="T24" s="33">
        <f t="shared" si="2"/>
        <v>32198.400000000001</v>
      </c>
      <c r="U24" s="34">
        <f t="shared" si="3"/>
        <v>83.850000000000009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91.3</v>
      </c>
      <c r="F25" s="18">
        <v>75</v>
      </c>
      <c r="G25" s="18">
        <v>77.7</v>
      </c>
      <c r="I25" s="18">
        <f t="shared" si="4"/>
        <v>82.3377358490566</v>
      </c>
      <c r="J25" s="42">
        <f>(I25/'Urban 19-20'!I25)-1</f>
        <v>1.4176164222385434E-2</v>
      </c>
      <c r="K25" s="16"/>
      <c r="M25" s="35">
        <f>65+20</f>
        <v>85</v>
      </c>
      <c r="N25" s="35">
        <f>42+22</f>
        <v>64</v>
      </c>
      <c r="O25" s="35">
        <f>41+22</f>
        <v>63</v>
      </c>
      <c r="P25" s="33">
        <f t="shared" si="0"/>
        <v>7760.5</v>
      </c>
      <c r="Q25" s="33">
        <f t="shared" si="0"/>
        <v>4800</v>
      </c>
      <c r="R25" s="33">
        <f t="shared" si="0"/>
        <v>4895.1000000000004</v>
      </c>
      <c r="S25" s="33">
        <f t="shared" si="1"/>
        <v>212</v>
      </c>
      <c r="T25" s="33">
        <f t="shared" si="2"/>
        <v>17455.599999999999</v>
      </c>
      <c r="U25" s="34">
        <f t="shared" si="3"/>
        <v>82.3377358490566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161.80000000000001</v>
      </c>
      <c r="F26" s="18">
        <v>104.4</v>
      </c>
      <c r="G26" s="18">
        <v>89</v>
      </c>
      <c r="I26" s="18">
        <f t="shared" si="4"/>
        <v>117.58218793828893</v>
      </c>
      <c r="J26" s="42">
        <f>(I26/'Urban 19-20'!I26)-1</f>
        <v>-9.9437846607118852E-3</v>
      </c>
      <c r="K26" s="16"/>
      <c r="M26" s="35">
        <f>325+142</f>
        <v>467</v>
      </c>
      <c r="N26" s="35">
        <f>230+209</f>
        <v>439</v>
      </c>
      <c r="O26" s="35">
        <f>246+274</f>
        <v>520</v>
      </c>
      <c r="P26" s="33">
        <f t="shared" si="0"/>
        <v>75560.600000000006</v>
      </c>
      <c r="Q26" s="33">
        <f t="shared" si="0"/>
        <v>45831.600000000006</v>
      </c>
      <c r="R26" s="33">
        <f t="shared" si="0"/>
        <v>46280</v>
      </c>
      <c r="S26" s="33">
        <f t="shared" si="1"/>
        <v>1426</v>
      </c>
      <c r="T26" s="33">
        <f t="shared" si="2"/>
        <v>167672.20000000001</v>
      </c>
      <c r="U26" s="34">
        <f t="shared" si="3"/>
        <v>117.58218793828893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121</v>
      </c>
      <c r="F27" s="18">
        <v>92.5</v>
      </c>
      <c r="G27" s="18">
        <v>78</v>
      </c>
      <c r="I27" s="18">
        <f t="shared" si="4"/>
        <v>98.482935153583611</v>
      </c>
      <c r="J27" s="42">
        <f>(I27/'Urban 19-20'!I27)-1</f>
        <v>1.1017338027276447E-2</v>
      </c>
      <c r="K27" s="16"/>
      <c r="M27" s="35">
        <f>138+71</f>
        <v>209</v>
      </c>
      <c r="N27" s="35">
        <f>110+98</f>
        <v>208</v>
      </c>
      <c r="O27" s="35">
        <f>70+99</f>
        <v>169</v>
      </c>
      <c r="P27" s="33">
        <f t="shared" si="0"/>
        <v>25289</v>
      </c>
      <c r="Q27" s="33">
        <f t="shared" si="0"/>
        <v>19240</v>
      </c>
      <c r="R27" s="33">
        <f t="shared" si="0"/>
        <v>13182</v>
      </c>
      <c r="S27" s="33">
        <f t="shared" si="1"/>
        <v>586</v>
      </c>
      <c r="T27" s="33">
        <f t="shared" si="2"/>
        <v>57711</v>
      </c>
      <c r="U27" s="34">
        <f t="shared" si="3"/>
        <v>98.482935153583611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166.6</v>
      </c>
      <c r="F28" s="18">
        <v>112.2</v>
      </c>
      <c r="G28" s="18">
        <v>89.9</v>
      </c>
      <c r="I28" s="18">
        <f t="shared" si="4"/>
        <v>118.08310767246937</v>
      </c>
      <c r="J28" s="42">
        <f>(I28/'Urban 19-20'!I28)-1</f>
        <v>3.7531619448093467E-2</v>
      </c>
      <c r="K28" s="16"/>
      <c r="M28" s="35">
        <f>282+128</f>
        <v>410</v>
      </c>
      <c r="N28" s="35">
        <f>309+241</f>
        <v>550</v>
      </c>
      <c r="O28" s="35">
        <f>296+295</f>
        <v>591</v>
      </c>
      <c r="P28" s="33">
        <f t="shared" si="0"/>
        <v>68306</v>
      </c>
      <c r="Q28" s="33">
        <f t="shared" si="0"/>
        <v>61710</v>
      </c>
      <c r="R28" s="33">
        <f t="shared" si="0"/>
        <v>53130.9</v>
      </c>
      <c r="S28" s="33">
        <f t="shared" si="1"/>
        <v>1551</v>
      </c>
      <c r="T28" s="33">
        <f t="shared" si="2"/>
        <v>183146.9</v>
      </c>
      <c r="U28" s="34">
        <f t="shared" si="3"/>
        <v>118.08310767246937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112.8</v>
      </c>
      <c r="F29" s="18">
        <v>94.5</v>
      </c>
      <c r="G29" s="18">
        <v>85.4</v>
      </c>
      <c r="I29" s="18">
        <f t="shared" si="4"/>
        <v>99.925954198473278</v>
      </c>
      <c r="J29" s="42">
        <f>(I29/'Urban 19-20'!I29)-1</f>
        <v>1.4645253649158141E-2</v>
      </c>
      <c r="K29" s="16"/>
      <c r="M29" s="35">
        <f>154+68</f>
        <v>222</v>
      </c>
      <c r="N29" s="35">
        <f>98+70</f>
        <v>168</v>
      </c>
      <c r="O29" s="35">
        <f>67+67</f>
        <v>134</v>
      </c>
      <c r="P29" s="33">
        <f t="shared" si="0"/>
        <v>25041.599999999999</v>
      </c>
      <c r="Q29" s="33">
        <f t="shared" si="0"/>
        <v>15876</v>
      </c>
      <c r="R29" s="33">
        <f t="shared" si="0"/>
        <v>11443.6</v>
      </c>
      <c r="S29" s="33">
        <f t="shared" si="1"/>
        <v>524</v>
      </c>
      <c r="T29" s="33">
        <f t="shared" si="2"/>
        <v>52361.2</v>
      </c>
      <c r="U29" s="34">
        <f t="shared" si="3"/>
        <v>99.925954198473278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137.80000000000001</v>
      </c>
      <c r="F30" s="18">
        <v>95</v>
      </c>
      <c r="G30" s="18">
        <v>75.099999999999994</v>
      </c>
      <c r="I30" s="18">
        <f t="shared" si="4"/>
        <v>93.792344045368623</v>
      </c>
      <c r="J30" s="42">
        <f>(I30/'Urban 19-20'!I30)-1</f>
        <v>-8.6962055112511649E-3</v>
      </c>
      <c r="K30" s="16"/>
      <c r="M30" s="35">
        <f>129+62</f>
        <v>191</v>
      </c>
      <c r="N30" s="35">
        <f>188+204</f>
        <v>392</v>
      </c>
      <c r="O30" s="35">
        <f>224+251</f>
        <v>475</v>
      </c>
      <c r="P30" s="33">
        <f t="shared" si="0"/>
        <v>26319.800000000003</v>
      </c>
      <c r="Q30" s="33">
        <f t="shared" si="0"/>
        <v>37240</v>
      </c>
      <c r="R30" s="33">
        <f t="shared" si="0"/>
        <v>35672.5</v>
      </c>
      <c r="S30" s="33">
        <f t="shared" si="1"/>
        <v>1058</v>
      </c>
      <c r="T30" s="33">
        <f t="shared" si="2"/>
        <v>99232.3</v>
      </c>
      <c r="U30" s="34">
        <f t="shared" si="3"/>
        <v>93.792344045368623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140.19999999999999</v>
      </c>
      <c r="F31" s="18">
        <v>104.1</v>
      </c>
      <c r="G31" s="18">
        <v>88.8</v>
      </c>
      <c r="I31" s="18">
        <f t="shared" si="4"/>
        <v>111.54969696969695</v>
      </c>
      <c r="J31" s="42">
        <f>(I31/'Urban 19-20'!I31)-1</f>
        <v>1.973202552283837E-2</v>
      </c>
      <c r="K31" s="16"/>
      <c r="M31" s="35">
        <f>192+77</f>
        <v>269</v>
      </c>
      <c r="N31" s="35">
        <f>167+156</f>
        <v>323</v>
      </c>
      <c r="O31" s="35">
        <f>96+137</f>
        <v>233</v>
      </c>
      <c r="P31" s="33">
        <f t="shared" si="0"/>
        <v>37713.799999999996</v>
      </c>
      <c r="Q31" s="33">
        <f t="shared" si="0"/>
        <v>33624.299999999996</v>
      </c>
      <c r="R31" s="33">
        <f t="shared" si="0"/>
        <v>20690.399999999998</v>
      </c>
      <c r="S31" s="33">
        <f t="shared" si="1"/>
        <v>825</v>
      </c>
      <c r="T31" s="33">
        <f t="shared" si="2"/>
        <v>92028.499999999985</v>
      </c>
      <c r="U31" s="34">
        <f t="shared" si="3"/>
        <v>111.54969696969695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110.7</v>
      </c>
      <c r="F32" s="18">
        <v>82.7</v>
      </c>
      <c r="G32" s="18">
        <v>77.5</v>
      </c>
      <c r="I32" s="18">
        <f t="shared" si="4"/>
        <v>91.046380697050949</v>
      </c>
      <c r="J32" s="42">
        <f>(I32/'Urban 19-20'!I32)-1</f>
        <v>2.3972956088397668E-2</v>
      </c>
      <c r="K32" s="16"/>
      <c r="M32" s="35">
        <f>159+89</f>
        <v>248</v>
      </c>
      <c r="N32" s="35">
        <f>188+172</f>
        <v>360</v>
      </c>
      <c r="O32" s="35">
        <f>48+90</f>
        <v>138</v>
      </c>
      <c r="P32" s="33">
        <f t="shared" si="0"/>
        <v>27453.600000000002</v>
      </c>
      <c r="Q32" s="33">
        <f t="shared" si="0"/>
        <v>29772</v>
      </c>
      <c r="R32" s="33">
        <f t="shared" si="0"/>
        <v>10695</v>
      </c>
      <c r="S32" s="33">
        <f t="shared" si="1"/>
        <v>746</v>
      </c>
      <c r="T32" s="33">
        <f t="shared" si="2"/>
        <v>67920.600000000006</v>
      </c>
      <c r="U32" s="34">
        <f t="shared" si="3"/>
        <v>91.046380697050949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138.96210837438426</v>
      </c>
      <c r="F34" s="38">
        <f>Q34/N34</f>
        <v>99.056828723587017</v>
      </c>
      <c r="G34" s="38">
        <f t="shared" ref="G34" si="5">R34/O34</f>
        <v>84.699579326923086</v>
      </c>
      <c r="H34" s="36"/>
      <c r="I34" s="38">
        <f t="shared" ref="I34" si="6">U34</f>
        <v>107.292472306143</v>
      </c>
      <c r="J34" s="43">
        <f>(I34/'Urban 19-20'!I34)-1</f>
        <v>1.4087476218087591E-2</v>
      </c>
      <c r="K34" s="16"/>
      <c r="M34" s="37">
        <f t="shared" ref="M34:R34" si="7">SUM(M12:M32)</f>
        <v>5075</v>
      </c>
      <c r="N34" s="37">
        <f t="shared" si="7"/>
        <v>5821</v>
      </c>
      <c r="O34" s="37">
        <f t="shared" si="7"/>
        <v>4992</v>
      </c>
      <c r="P34" s="37">
        <f t="shared" si="7"/>
        <v>705232.70000000007</v>
      </c>
      <c r="Q34" s="37">
        <f t="shared" si="7"/>
        <v>576609.80000000005</v>
      </c>
      <c r="R34" s="37">
        <f t="shared" si="7"/>
        <v>422820.30000000005</v>
      </c>
      <c r="S34" s="33">
        <f>M34+N34+O34</f>
        <v>15888</v>
      </c>
      <c r="T34" s="33">
        <f>P34+Q34+R34</f>
        <v>1704662.8</v>
      </c>
      <c r="U34" s="34">
        <f>T34/S34</f>
        <v>107.292472306143</v>
      </c>
    </row>
    <row r="35" spans="1:21" ht="13.5" customHeight="1" x14ac:dyDescent="0.2">
      <c r="A35" s="17"/>
      <c r="D35" s="41" t="s">
        <v>44</v>
      </c>
      <c r="E35" s="38">
        <f>MEDIAN(E12:E32)</f>
        <v>130.25</v>
      </c>
      <c r="F35" s="38">
        <f>MEDIAN(F12:F32)</f>
        <v>94.75</v>
      </c>
      <c r="G35" s="38">
        <f>MEDIAN(G12:G32)</f>
        <v>83.1</v>
      </c>
      <c r="H35" s="36"/>
      <c r="I35" s="38">
        <f>MEDIAN(I12:I32)</f>
        <v>99.693214253386842</v>
      </c>
      <c r="J35" s="43">
        <f>(I35/'Urban 19-20'!I35)-1</f>
        <v>1.2948088051910167E-2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62</v>
      </c>
      <c r="K38" s="16"/>
    </row>
    <row r="39" spans="1:21" ht="13.5" customHeight="1" x14ac:dyDescent="0.2">
      <c r="A39" s="17"/>
      <c r="B39" s="14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76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F2DB-AD5C-4CFB-A4B6-5AF553337068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73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144.19999999999999</v>
      </c>
      <c r="F12" s="18">
        <v>97.6</v>
      </c>
      <c r="G12" s="18">
        <v>84.9</v>
      </c>
      <c r="I12" s="18">
        <f>U12</f>
        <v>107.453312788906</v>
      </c>
      <c r="J12" s="42">
        <f>(I12/'Urban 18-19'!I12)-1</f>
        <v>3.4574331326283847E-2</v>
      </c>
      <c r="K12" s="16"/>
      <c r="M12" s="35">
        <f>123+78</f>
        <v>201</v>
      </c>
      <c r="N12" s="35">
        <f>120+94</f>
        <v>214</v>
      </c>
      <c r="O12" s="35">
        <f>90+144</f>
        <v>234</v>
      </c>
      <c r="P12" s="33">
        <f t="shared" ref="P12:R32" si="0">E12*M12</f>
        <v>28984.199999999997</v>
      </c>
      <c r="Q12" s="33">
        <f t="shared" si="0"/>
        <v>20886.399999999998</v>
      </c>
      <c r="R12" s="33">
        <f t="shared" si="0"/>
        <v>19866.600000000002</v>
      </c>
      <c r="S12" s="33">
        <f t="shared" ref="S12:S32" si="1">M12+N12+O12</f>
        <v>649</v>
      </c>
      <c r="T12" s="33">
        <f t="shared" ref="T12:T32" si="2">P12+Q12+R12</f>
        <v>69737.2</v>
      </c>
      <c r="U12" s="34">
        <f>T12/S12</f>
        <v>107.453312788906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126.1</v>
      </c>
      <c r="F13" s="18">
        <v>91</v>
      </c>
      <c r="G13" s="18">
        <v>77.5</v>
      </c>
      <c r="I13" s="18">
        <f>U13</f>
        <v>98.354119547657504</v>
      </c>
      <c r="J13" s="42">
        <f>(I13/'Urban 18-19'!I13)-1</f>
        <v>1.7154646291750897E-2</v>
      </c>
      <c r="K13" s="16"/>
      <c r="M13" s="35">
        <f>267+142</f>
        <v>409</v>
      </c>
      <c r="N13" s="35">
        <f>230+210</f>
        <v>440</v>
      </c>
      <c r="O13" s="35">
        <f>174+215</f>
        <v>389</v>
      </c>
      <c r="P13" s="33">
        <f t="shared" si="0"/>
        <v>51574.899999999994</v>
      </c>
      <c r="Q13" s="33">
        <f t="shared" si="0"/>
        <v>40040</v>
      </c>
      <c r="R13" s="33">
        <f t="shared" si="0"/>
        <v>30147.5</v>
      </c>
      <c r="S13" s="33">
        <f t="shared" si="1"/>
        <v>1238</v>
      </c>
      <c r="T13" s="33">
        <f t="shared" si="2"/>
        <v>121762.4</v>
      </c>
      <c r="U13" s="34">
        <f t="shared" ref="U13:U32" si="3">T13/S13</f>
        <v>98.354119547657504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111.4</v>
      </c>
      <c r="F14" s="18">
        <v>87.6</v>
      </c>
      <c r="G14" s="18">
        <v>82.2</v>
      </c>
      <c r="I14" s="18">
        <f>U14</f>
        <v>93.410933940774484</v>
      </c>
      <c r="J14" s="42"/>
      <c r="K14" s="16"/>
      <c r="M14" s="35">
        <f>92+44</f>
        <v>136</v>
      </c>
      <c r="N14" s="35">
        <f>99+77</f>
        <v>176</v>
      </c>
      <c r="O14" s="35">
        <f>56+71</f>
        <v>127</v>
      </c>
      <c r="P14" s="33">
        <f t="shared" si="0"/>
        <v>15150.400000000001</v>
      </c>
      <c r="Q14" s="33">
        <f t="shared" si="0"/>
        <v>15417.599999999999</v>
      </c>
      <c r="R14" s="33">
        <f t="shared" si="0"/>
        <v>10439.4</v>
      </c>
      <c r="S14" s="33">
        <f t="shared" si="1"/>
        <v>439</v>
      </c>
      <c r="T14" s="33">
        <f t="shared" si="2"/>
        <v>41007.4</v>
      </c>
      <c r="U14" s="34">
        <f t="shared" si="3"/>
        <v>93.410933940774484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125.9</v>
      </c>
      <c r="F15" s="18">
        <v>103.5</v>
      </c>
      <c r="G15" s="18">
        <v>88.1</v>
      </c>
      <c r="I15" s="18">
        <f t="shared" ref="I15:I32" si="4">U15</f>
        <v>112.11538461538461</v>
      </c>
      <c r="J15" s="42">
        <f>(I15/'Urban 18-19'!I15)-1</f>
        <v>-4.6491034569690837E-2</v>
      </c>
      <c r="K15" s="16"/>
      <c r="M15" s="35">
        <f>182+84</f>
        <v>266</v>
      </c>
      <c r="N15" s="35">
        <f>92+66</f>
        <v>158</v>
      </c>
      <c r="O15" s="35">
        <f>50+46</f>
        <v>96</v>
      </c>
      <c r="P15" s="33">
        <f t="shared" si="0"/>
        <v>33489.4</v>
      </c>
      <c r="Q15" s="33">
        <f t="shared" si="0"/>
        <v>16353</v>
      </c>
      <c r="R15" s="33">
        <f t="shared" si="0"/>
        <v>8457.5999999999985</v>
      </c>
      <c r="S15" s="33">
        <f t="shared" si="1"/>
        <v>520</v>
      </c>
      <c r="T15" s="33">
        <f t="shared" si="2"/>
        <v>58300</v>
      </c>
      <c r="U15" s="34">
        <f t="shared" si="3"/>
        <v>112.11538461538461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141</v>
      </c>
      <c r="F16" s="18">
        <v>100</v>
      </c>
      <c r="G16" s="18">
        <v>90.5</v>
      </c>
      <c r="I16" s="18">
        <f t="shared" si="4"/>
        <v>110.24499411071849</v>
      </c>
      <c r="J16" s="42">
        <f>(I16/'Urban 18-19'!I16)-1</f>
        <v>2.1418971587111812E-2</v>
      </c>
      <c r="K16" s="16"/>
      <c r="M16" s="35">
        <f>200+71</f>
        <v>271</v>
      </c>
      <c r="N16" s="35">
        <f>194+130</f>
        <v>324</v>
      </c>
      <c r="O16" s="35">
        <f>120+134</f>
        <v>254</v>
      </c>
      <c r="P16" s="33">
        <f t="shared" si="0"/>
        <v>38211</v>
      </c>
      <c r="Q16" s="33">
        <f t="shared" si="0"/>
        <v>32400</v>
      </c>
      <c r="R16" s="33">
        <f t="shared" si="0"/>
        <v>22987</v>
      </c>
      <c r="S16" s="33">
        <f t="shared" si="1"/>
        <v>849</v>
      </c>
      <c r="T16" s="33">
        <f t="shared" si="2"/>
        <v>93598</v>
      </c>
      <c r="U16" s="34">
        <f t="shared" si="3"/>
        <v>110.24499411071849</v>
      </c>
    </row>
    <row r="17" spans="1:21" ht="13.5" customHeight="1" x14ac:dyDescent="0.2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159.80000000000001</v>
      </c>
      <c r="F18" s="18">
        <v>106.8</v>
      </c>
      <c r="G18" s="18">
        <v>95.6</v>
      </c>
      <c r="I18" s="18">
        <f t="shared" si="4"/>
        <v>127.04190106692532</v>
      </c>
      <c r="J18" s="42">
        <f>(I18/'Urban 18-19'!I18)-1</f>
        <v>2.521438690093758E-2</v>
      </c>
      <c r="K18" s="16"/>
      <c r="M18" s="35">
        <f>341+102</f>
        <v>443</v>
      </c>
      <c r="N18" s="35">
        <f>207+148</f>
        <v>355</v>
      </c>
      <c r="O18" s="35">
        <f>130+103</f>
        <v>233</v>
      </c>
      <c r="P18" s="33">
        <f t="shared" si="0"/>
        <v>70791.400000000009</v>
      </c>
      <c r="Q18" s="33">
        <f t="shared" si="0"/>
        <v>37914</v>
      </c>
      <c r="R18" s="33">
        <f t="shared" si="0"/>
        <v>22274.799999999999</v>
      </c>
      <c r="S18" s="33">
        <f t="shared" si="1"/>
        <v>1031</v>
      </c>
      <c r="T18" s="33">
        <f t="shared" si="2"/>
        <v>130980.20000000001</v>
      </c>
      <c r="U18" s="34">
        <f t="shared" si="3"/>
        <v>127.04190106692532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163.1</v>
      </c>
      <c r="F19" s="18">
        <v>117.2</v>
      </c>
      <c r="G19" s="18">
        <v>98.4</v>
      </c>
      <c r="I19" s="18">
        <f t="shared" si="4"/>
        <v>125.31211382113821</v>
      </c>
      <c r="J19" s="42">
        <f>(I19/'Urban 18-19'!I19)-1</f>
        <v>7.5158431348941956E-2</v>
      </c>
      <c r="K19" s="16"/>
      <c r="M19" s="35">
        <f>250+139</f>
        <v>389</v>
      </c>
      <c r="N19" s="35">
        <f>217+205</f>
        <v>422</v>
      </c>
      <c r="O19" s="35">
        <f>206+213</f>
        <v>419</v>
      </c>
      <c r="P19" s="33">
        <f t="shared" si="0"/>
        <v>63445.899999999994</v>
      </c>
      <c r="Q19" s="33">
        <f t="shared" si="0"/>
        <v>49458.400000000001</v>
      </c>
      <c r="R19" s="33">
        <f t="shared" si="0"/>
        <v>41229.600000000006</v>
      </c>
      <c r="S19" s="33">
        <f t="shared" si="1"/>
        <v>1230</v>
      </c>
      <c r="T19" s="33">
        <f t="shared" si="2"/>
        <v>154133.9</v>
      </c>
      <c r="U19" s="34">
        <f t="shared" si="3"/>
        <v>125.31211382113821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123.9</v>
      </c>
      <c r="F20" s="18">
        <v>90.7</v>
      </c>
      <c r="G20" s="18">
        <v>78.5</v>
      </c>
      <c r="I20" s="18">
        <f t="shared" si="4"/>
        <v>96.015022421524662</v>
      </c>
      <c r="J20" s="42">
        <f>(I20/'Urban 18-19'!I20)-1</f>
        <v>1.0310235212039665E-2</v>
      </c>
      <c r="K20" s="16"/>
      <c r="M20" s="35">
        <f>165+84</f>
        <v>249</v>
      </c>
      <c r="N20" s="35">
        <f>183+171</f>
        <v>354</v>
      </c>
      <c r="O20" s="35">
        <f>103+186</f>
        <v>289</v>
      </c>
      <c r="P20" s="33">
        <f t="shared" si="0"/>
        <v>30851.100000000002</v>
      </c>
      <c r="Q20" s="33">
        <f t="shared" si="0"/>
        <v>32107.8</v>
      </c>
      <c r="R20" s="33">
        <f t="shared" si="0"/>
        <v>22686.5</v>
      </c>
      <c r="S20" s="33">
        <f t="shared" si="1"/>
        <v>892</v>
      </c>
      <c r="T20" s="33">
        <f t="shared" si="2"/>
        <v>85645.4</v>
      </c>
      <c r="U20" s="34">
        <f t="shared" si="3"/>
        <v>96.015022421524662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149</v>
      </c>
      <c r="F21" s="18">
        <v>115.5</v>
      </c>
      <c r="G21" s="18">
        <v>90.5</v>
      </c>
      <c r="I21" s="18">
        <f t="shared" si="4"/>
        <v>117.71894736842106</v>
      </c>
      <c r="J21" s="42">
        <f>(I21/'Urban 18-19'!I21)-1</f>
        <v>6.6555811393494313E-2</v>
      </c>
      <c r="K21" s="16"/>
      <c r="M21" s="35">
        <f>77+47</f>
        <v>124</v>
      </c>
      <c r="N21" s="35">
        <f>113+114</f>
        <v>227</v>
      </c>
      <c r="O21" s="35">
        <f>57+67</f>
        <v>124</v>
      </c>
      <c r="P21" s="33">
        <f t="shared" si="0"/>
        <v>18476</v>
      </c>
      <c r="Q21" s="33">
        <f t="shared" si="0"/>
        <v>26218.5</v>
      </c>
      <c r="R21" s="33">
        <f t="shared" si="0"/>
        <v>11222</v>
      </c>
      <c r="S21" s="33">
        <f t="shared" si="1"/>
        <v>475</v>
      </c>
      <c r="T21" s="33">
        <f t="shared" si="2"/>
        <v>55916.5</v>
      </c>
      <c r="U21" s="34">
        <f t="shared" si="3"/>
        <v>117.71894736842106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109.7</v>
      </c>
      <c r="F22" s="18">
        <v>82.2</v>
      </c>
      <c r="G22" s="18">
        <v>74.099999999999994</v>
      </c>
      <c r="I22" s="18">
        <f>U22</f>
        <v>87.101558073654402</v>
      </c>
      <c r="J22" s="42">
        <f>(I22/'Urban 18-19'!I22)-1</f>
        <v>-2.0007982616920605E-2</v>
      </c>
      <c r="K22" s="16"/>
      <c r="M22" s="35">
        <f>139+59</f>
        <v>198</v>
      </c>
      <c r="N22" s="35">
        <f>146+117</f>
        <v>263</v>
      </c>
      <c r="O22" s="35">
        <f>103+142</f>
        <v>245</v>
      </c>
      <c r="P22" s="33">
        <f t="shared" si="0"/>
        <v>21720.600000000002</v>
      </c>
      <c r="Q22" s="33">
        <f t="shared" si="0"/>
        <v>21618.600000000002</v>
      </c>
      <c r="R22" s="33">
        <f t="shared" si="0"/>
        <v>18154.5</v>
      </c>
      <c r="S22" s="33">
        <f t="shared" si="1"/>
        <v>706</v>
      </c>
      <c r="T22" s="33">
        <f t="shared" si="2"/>
        <v>61493.700000000004</v>
      </c>
      <c r="U22" s="34">
        <f t="shared" si="3"/>
        <v>87.101558073654402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110.1</v>
      </c>
      <c r="F23" s="23">
        <v>84.2</v>
      </c>
      <c r="G23" s="23">
        <v>75.400000000000006</v>
      </c>
      <c r="H23" s="22"/>
      <c r="I23" s="23">
        <f t="shared" si="4"/>
        <v>88.134351145038167</v>
      </c>
      <c r="J23" s="44">
        <f>(I23/'Urban 18-19'!I23)-1</f>
        <v>-4.5323769653271562E-4</v>
      </c>
      <c r="K23" s="16"/>
      <c r="M23" s="35">
        <f>84+52</f>
        <v>136</v>
      </c>
      <c r="N23" s="35">
        <f>122+100</f>
        <v>222</v>
      </c>
      <c r="O23" s="35">
        <f>67+99</f>
        <v>166</v>
      </c>
      <c r="P23" s="33">
        <f t="shared" si="0"/>
        <v>14973.599999999999</v>
      </c>
      <c r="Q23" s="33">
        <f t="shared" si="0"/>
        <v>18692.400000000001</v>
      </c>
      <c r="R23" s="33">
        <f t="shared" si="0"/>
        <v>12516.400000000001</v>
      </c>
      <c r="S23" s="33">
        <f t="shared" si="1"/>
        <v>524</v>
      </c>
      <c r="T23" s="33">
        <f t="shared" si="2"/>
        <v>46182.400000000001</v>
      </c>
      <c r="U23" s="34">
        <f t="shared" si="3"/>
        <v>88.134351145038167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103.3</v>
      </c>
      <c r="F24" s="23">
        <v>80.5</v>
      </c>
      <c r="G24" s="23">
        <v>66.5</v>
      </c>
      <c r="H24" s="22"/>
      <c r="I24" s="23">
        <f t="shared" si="4"/>
        <v>81.763541666666654</v>
      </c>
      <c r="J24" s="44">
        <f>(I24/'Urban 18-19'!I24)-1</f>
        <v>2.9132292127503234E-2</v>
      </c>
      <c r="K24" s="16"/>
      <c r="M24" s="35">
        <f>66+48</f>
        <v>114</v>
      </c>
      <c r="N24" s="35">
        <f>53+66</f>
        <v>119</v>
      </c>
      <c r="O24" s="35">
        <f>50+101</f>
        <v>151</v>
      </c>
      <c r="P24" s="33">
        <f t="shared" si="0"/>
        <v>11776.199999999999</v>
      </c>
      <c r="Q24" s="33">
        <f t="shared" si="0"/>
        <v>9579.5</v>
      </c>
      <c r="R24" s="33">
        <f t="shared" si="0"/>
        <v>10041.5</v>
      </c>
      <c r="S24" s="33">
        <f t="shared" si="1"/>
        <v>384</v>
      </c>
      <c r="T24" s="33">
        <f t="shared" si="2"/>
        <v>31397.199999999997</v>
      </c>
      <c r="U24" s="34">
        <f t="shared" si="3"/>
        <v>81.763541666666654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91.7</v>
      </c>
      <c r="F25" s="18">
        <v>72</v>
      </c>
      <c r="G25" s="18">
        <v>76.8</v>
      </c>
      <c r="I25" s="18">
        <f t="shared" si="4"/>
        <v>81.186818181818197</v>
      </c>
      <c r="J25" s="42">
        <f>(I25/'Urban 18-19'!I25)-1</f>
        <v>2.7116342509820868E-3</v>
      </c>
      <c r="K25" s="16"/>
      <c r="M25" s="35">
        <f>64+23</f>
        <v>87</v>
      </c>
      <c r="N25" s="35">
        <f>46+23</f>
        <v>69</v>
      </c>
      <c r="O25" s="35">
        <f>42+22</f>
        <v>64</v>
      </c>
      <c r="P25" s="33">
        <f t="shared" si="0"/>
        <v>7977.9000000000005</v>
      </c>
      <c r="Q25" s="33">
        <f t="shared" si="0"/>
        <v>4968</v>
      </c>
      <c r="R25" s="33">
        <f t="shared" si="0"/>
        <v>4915.2</v>
      </c>
      <c r="S25" s="33">
        <f t="shared" si="1"/>
        <v>220</v>
      </c>
      <c r="T25" s="33">
        <f t="shared" si="2"/>
        <v>17861.100000000002</v>
      </c>
      <c r="U25" s="34">
        <f t="shared" si="3"/>
        <v>81.186818181818197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162.5</v>
      </c>
      <c r="F26" s="18">
        <v>105.1</v>
      </c>
      <c r="G26" s="18">
        <v>89.4</v>
      </c>
      <c r="I26" s="18">
        <f t="shared" si="4"/>
        <v>118.76314305849189</v>
      </c>
      <c r="J26" s="42">
        <f>(I26/'Urban 18-19'!I26)-1</f>
        <v>2.5198787682585211E-2</v>
      </c>
      <c r="K26" s="16"/>
      <c r="M26" s="35">
        <f>341+139</f>
        <v>480</v>
      </c>
      <c r="N26" s="35">
        <f>220+199</f>
        <v>419</v>
      </c>
      <c r="O26" s="35">
        <f>258+262</f>
        <v>520</v>
      </c>
      <c r="P26" s="33">
        <f t="shared" si="0"/>
        <v>78000</v>
      </c>
      <c r="Q26" s="33">
        <f t="shared" si="0"/>
        <v>44036.899999999994</v>
      </c>
      <c r="R26" s="33">
        <f t="shared" si="0"/>
        <v>46488</v>
      </c>
      <c r="S26" s="33">
        <f t="shared" si="1"/>
        <v>1419</v>
      </c>
      <c r="T26" s="33">
        <f t="shared" si="2"/>
        <v>168524.9</v>
      </c>
      <c r="U26" s="34">
        <f t="shared" si="3"/>
        <v>118.76314305849189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121</v>
      </c>
      <c r="F27" s="18">
        <v>93.3</v>
      </c>
      <c r="G27" s="18">
        <v>77.599999999999994</v>
      </c>
      <c r="I27" s="18">
        <f t="shared" si="4"/>
        <v>97.409739130434787</v>
      </c>
      <c r="J27" s="42">
        <f>(I27/'Urban 18-19'!I27)-1</f>
        <v>3.9757848273586083E-2</v>
      </c>
      <c r="K27" s="16"/>
      <c r="M27" s="35">
        <f>132+61</f>
        <v>193</v>
      </c>
      <c r="N27" s="35">
        <f>102+90</f>
        <v>192</v>
      </c>
      <c r="O27" s="35">
        <f>72+118</f>
        <v>190</v>
      </c>
      <c r="P27" s="33">
        <f t="shared" si="0"/>
        <v>23353</v>
      </c>
      <c r="Q27" s="33">
        <f t="shared" si="0"/>
        <v>17913.599999999999</v>
      </c>
      <c r="R27" s="33">
        <f t="shared" si="0"/>
        <v>14743.999999999998</v>
      </c>
      <c r="S27" s="33">
        <f t="shared" si="1"/>
        <v>575</v>
      </c>
      <c r="T27" s="33">
        <f t="shared" si="2"/>
        <v>56010.6</v>
      </c>
      <c r="U27" s="34">
        <f t="shared" si="3"/>
        <v>97.409739130434787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162.69999999999999</v>
      </c>
      <c r="F28" s="18">
        <v>108.5</v>
      </c>
      <c r="G28" s="18">
        <v>86.1</v>
      </c>
      <c r="I28" s="18">
        <f t="shared" si="4"/>
        <v>113.81157495256166</v>
      </c>
      <c r="J28" s="42">
        <f>(I28/'Urban 18-19'!I28)-1</f>
        <v>1.4193284526047067E-2</v>
      </c>
      <c r="K28" s="16"/>
      <c r="M28" s="35">
        <f>289+123</f>
        <v>412</v>
      </c>
      <c r="N28" s="35">
        <f>304+243</f>
        <v>547</v>
      </c>
      <c r="O28" s="35">
        <f>322+300</f>
        <v>622</v>
      </c>
      <c r="P28" s="33">
        <f t="shared" si="0"/>
        <v>67032.399999999994</v>
      </c>
      <c r="Q28" s="33">
        <f t="shared" si="0"/>
        <v>59349.5</v>
      </c>
      <c r="R28" s="33">
        <f t="shared" si="0"/>
        <v>53554.2</v>
      </c>
      <c r="S28" s="33">
        <f t="shared" si="1"/>
        <v>1581</v>
      </c>
      <c r="T28" s="33">
        <f t="shared" si="2"/>
        <v>179936.09999999998</v>
      </c>
      <c r="U28" s="34">
        <f t="shared" si="3"/>
        <v>113.81157495256166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113</v>
      </c>
      <c r="F29" s="18">
        <v>95.2</v>
      </c>
      <c r="G29" s="18">
        <v>79.5</v>
      </c>
      <c r="I29" s="18">
        <f t="shared" si="4"/>
        <v>98.483636363636364</v>
      </c>
      <c r="J29" s="42">
        <f>(I29/'Urban 18-19'!I29)-1</f>
        <v>1.0433386865554839E-2</v>
      </c>
      <c r="K29" s="16"/>
      <c r="M29" s="35">
        <f>162+70</f>
        <v>232</v>
      </c>
      <c r="N29" s="35">
        <f>107+63</f>
        <v>170</v>
      </c>
      <c r="O29" s="35">
        <f>73+75</f>
        <v>148</v>
      </c>
      <c r="P29" s="33">
        <f t="shared" si="0"/>
        <v>26216</v>
      </c>
      <c r="Q29" s="33">
        <f t="shared" si="0"/>
        <v>16184</v>
      </c>
      <c r="R29" s="33">
        <f t="shared" si="0"/>
        <v>11766</v>
      </c>
      <c r="S29" s="33">
        <f t="shared" si="1"/>
        <v>550</v>
      </c>
      <c r="T29" s="33">
        <f t="shared" si="2"/>
        <v>54166</v>
      </c>
      <c r="U29" s="34">
        <f t="shared" si="3"/>
        <v>98.483636363636364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139.6</v>
      </c>
      <c r="F30" s="18">
        <v>96</v>
      </c>
      <c r="G30" s="18">
        <v>76.3</v>
      </c>
      <c r="I30" s="18">
        <f t="shared" si="4"/>
        <v>94.615136718749994</v>
      </c>
      <c r="J30" s="42">
        <f>(I30/'Urban 18-19'!I30)-1</f>
        <v>3.9898501195552605E-2</v>
      </c>
      <c r="K30" s="16"/>
      <c r="M30" s="35">
        <f>126+57</f>
        <v>183</v>
      </c>
      <c r="N30" s="35">
        <f>174+190</f>
        <v>364</v>
      </c>
      <c r="O30" s="35">
        <f>224+253</f>
        <v>477</v>
      </c>
      <c r="P30" s="33">
        <f t="shared" si="0"/>
        <v>25546.799999999999</v>
      </c>
      <c r="Q30" s="33">
        <f t="shared" si="0"/>
        <v>34944</v>
      </c>
      <c r="R30" s="33">
        <f t="shared" si="0"/>
        <v>36395.1</v>
      </c>
      <c r="S30" s="33">
        <f t="shared" si="1"/>
        <v>1024</v>
      </c>
      <c r="T30" s="33">
        <f t="shared" si="2"/>
        <v>96885.9</v>
      </c>
      <c r="U30" s="34">
        <f t="shared" si="3"/>
        <v>94.615136718749994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137</v>
      </c>
      <c r="F31" s="18">
        <v>102.2</v>
      </c>
      <c r="G31" s="18">
        <v>87.6</v>
      </c>
      <c r="I31" s="18">
        <f t="shared" si="4"/>
        <v>109.39118727050183</v>
      </c>
      <c r="J31" s="42">
        <f>(I31/'Urban 18-19'!I31)-1</f>
        <v>2.1083001849000027E-2</v>
      </c>
      <c r="K31" s="16"/>
      <c r="M31" s="35">
        <f>197+70</f>
        <v>267</v>
      </c>
      <c r="N31" s="35">
        <f>163+153</f>
        <v>316</v>
      </c>
      <c r="O31" s="35">
        <f>100+134</f>
        <v>234</v>
      </c>
      <c r="P31" s="33">
        <f t="shared" si="0"/>
        <v>36579</v>
      </c>
      <c r="Q31" s="33">
        <f t="shared" si="0"/>
        <v>32295.200000000001</v>
      </c>
      <c r="R31" s="33">
        <f t="shared" si="0"/>
        <v>20498.399999999998</v>
      </c>
      <c r="S31" s="33">
        <f t="shared" si="1"/>
        <v>817</v>
      </c>
      <c r="T31" s="33">
        <f t="shared" si="2"/>
        <v>89372.599999999991</v>
      </c>
      <c r="U31" s="34">
        <f t="shared" si="3"/>
        <v>109.39118727050183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108.5</v>
      </c>
      <c r="F32" s="18">
        <v>81.900000000000006</v>
      </c>
      <c r="G32" s="18">
        <v>76</v>
      </c>
      <c r="I32" s="18">
        <f t="shared" si="4"/>
        <v>88.914829396325473</v>
      </c>
      <c r="J32" s="42">
        <f>(I32/'Urban 18-19'!I32)-1</f>
        <v>3.1380235035789239E-2</v>
      </c>
      <c r="K32" s="16"/>
      <c r="M32" s="35">
        <f>155+79</f>
        <v>234</v>
      </c>
      <c r="N32" s="35">
        <f>205+174</f>
        <v>379</v>
      </c>
      <c r="O32" s="35">
        <f>58+91</f>
        <v>149</v>
      </c>
      <c r="P32" s="33">
        <f t="shared" si="0"/>
        <v>25389</v>
      </c>
      <c r="Q32" s="33">
        <f t="shared" si="0"/>
        <v>31040.100000000002</v>
      </c>
      <c r="R32" s="33">
        <f t="shared" si="0"/>
        <v>11324</v>
      </c>
      <c r="S32" s="33">
        <f t="shared" si="1"/>
        <v>762</v>
      </c>
      <c r="T32" s="33">
        <f t="shared" si="2"/>
        <v>67753.100000000006</v>
      </c>
      <c r="U32" s="34">
        <f t="shared" si="3"/>
        <v>88.914829396325473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137.24896496815285</v>
      </c>
      <c r="F34" s="38">
        <f>Q34/N34</f>
        <v>97.978621291448491</v>
      </c>
      <c r="G34" s="38">
        <f t="shared" ref="G34" si="5">R34/O34</f>
        <v>83.747476125511596</v>
      </c>
      <c r="H34" s="36"/>
      <c r="I34" s="38">
        <f t="shared" ref="I34" si="6">U34</f>
        <v>105.80198929807995</v>
      </c>
      <c r="J34" s="43">
        <f>(I34/'Urban 18-19'!I34)-1</f>
        <v>2.4167644719421677E-2</v>
      </c>
      <c r="K34" s="16"/>
      <c r="M34" s="37">
        <f t="shared" ref="M34:R34" si="7">SUM(M12:M32)</f>
        <v>5024</v>
      </c>
      <c r="N34" s="37">
        <f t="shared" si="7"/>
        <v>5730</v>
      </c>
      <c r="O34" s="37">
        <f t="shared" si="7"/>
        <v>5131</v>
      </c>
      <c r="P34" s="37">
        <f t="shared" si="7"/>
        <v>689538.79999999993</v>
      </c>
      <c r="Q34" s="37">
        <f t="shared" si="7"/>
        <v>561417.49999999988</v>
      </c>
      <c r="R34" s="37">
        <f t="shared" si="7"/>
        <v>429708.3</v>
      </c>
      <c r="S34" s="33">
        <f>M34+N34+O34</f>
        <v>15885</v>
      </c>
      <c r="T34" s="33">
        <f>P34+Q34+R34</f>
        <v>1680664.5999999999</v>
      </c>
      <c r="U34" s="34">
        <f>T34/S34</f>
        <v>105.80198929807995</v>
      </c>
    </row>
    <row r="35" spans="1:21" ht="13.5" customHeight="1" x14ac:dyDescent="0.2">
      <c r="A35" s="17"/>
      <c r="D35" s="41" t="s">
        <v>44</v>
      </c>
      <c r="E35" s="38">
        <f>MEDIAN(E12:E32)</f>
        <v>126</v>
      </c>
      <c r="F35" s="38">
        <f>MEDIAN(F12:F32)</f>
        <v>95.6</v>
      </c>
      <c r="G35" s="38">
        <f>MEDIAN(G12:G32)</f>
        <v>80.849999999999994</v>
      </c>
      <c r="H35" s="36"/>
      <c r="I35" s="38">
        <f>MEDIAN(I12:I32)</f>
        <v>98.418877955646934</v>
      </c>
      <c r="J35" s="43">
        <f>(I35/'Urban 18-19'!I35)-1</f>
        <v>9.7689713349262686E-3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62</v>
      </c>
      <c r="K38" s="16"/>
    </row>
    <row r="39" spans="1:21" ht="13.5" customHeight="1" x14ac:dyDescent="0.2">
      <c r="A39" s="17"/>
      <c r="B39" s="14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74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71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139.1</v>
      </c>
      <c r="F12" s="18">
        <v>96.9</v>
      </c>
      <c r="G12" s="18">
        <v>81.900000000000006</v>
      </c>
      <c r="I12" s="18">
        <f>U12</f>
        <v>103.86234177215189</v>
      </c>
      <c r="J12" s="42">
        <f>(I12/'Urban 17-18'!I12)-1</f>
        <v>1.9238502867458207E-2</v>
      </c>
      <c r="K12" s="16"/>
      <c r="M12" s="35">
        <f>116+75</f>
        <v>191</v>
      </c>
      <c r="N12" s="35">
        <f>115+82</f>
        <v>197</v>
      </c>
      <c r="O12" s="35">
        <f>106+138</f>
        <v>244</v>
      </c>
      <c r="P12" s="33">
        <f t="shared" ref="P12:R32" si="0">E12*M12</f>
        <v>26568.1</v>
      </c>
      <c r="Q12" s="33">
        <f t="shared" si="0"/>
        <v>19089.300000000003</v>
      </c>
      <c r="R12" s="33">
        <f t="shared" si="0"/>
        <v>19983.600000000002</v>
      </c>
      <c r="S12" s="33">
        <f t="shared" ref="S12:S32" si="1">M12+N12+O12</f>
        <v>632</v>
      </c>
      <c r="T12" s="33">
        <f t="shared" ref="T12:T32" si="2">P12+Q12+R12</f>
        <v>65641</v>
      </c>
      <c r="U12" s="34">
        <f>T12/S12</f>
        <v>103.86234177215189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125.4</v>
      </c>
      <c r="F13" s="18">
        <v>89.7</v>
      </c>
      <c r="G13" s="18">
        <v>76.7</v>
      </c>
      <c r="I13" s="18">
        <f>U13</f>
        <v>96.695345104333867</v>
      </c>
      <c r="J13" s="42">
        <f>(I13/'Urban 17-18'!I13)-1</f>
        <v>1.8308348935440755E-2</v>
      </c>
      <c r="K13" s="16"/>
      <c r="M13" s="35">
        <f>266+130</f>
        <v>396</v>
      </c>
      <c r="N13" s="35">
        <f>221+212</f>
        <v>433</v>
      </c>
      <c r="O13" s="35">
        <f>194+223</f>
        <v>417</v>
      </c>
      <c r="P13" s="33">
        <f t="shared" si="0"/>
        <v>49658.400000000001</v>
      </c>
      <c r="Q13" s="33">
        <f t="shared" si="0"/>
        <v>38840.1</v>
      </c>
      <c r="R13" s="33">
        <f t="shared" si="0"/>
        <v>31983.9</v>
      </c>
      <c r="S13" s="33">
        <f t="shared" si="1"/>
        <v>1246</v>
      </c>
      <c r="T13" s="33">
        <f t="shared" si="2"/>
        <v>120482.4</v>
      </c>
      <c r="U13" s="34">
        <f t="shared" ref="U13:U32" si="3">T13/S13</f>
        <v>96.695345104333867</v>
      </c>
    </row>
    <row r="14" spans="1:21" ht="13.5" customHeight="1" x14ac:dyDescent="0.2">
      <c r="A14" s="17"/>
      <c r="C14" s="29">
        <v>3</v>
      </c>
      <c r="D14" s="1" t="s">
        <v>25</v>
      </c>
      <c r="E14" s="18"/>
      <c r="F14" s="18"/>
      <c r="G14" s="18"/>
      <c r="I14" s="18"/>
      <c r="J14" s="42"/>
      <c r="K14" s="16"/>
      <c r="M14" s="35"/>
      <c r="N14" s="35"/>
      <c r="O14" s="35"/>
      <c r="P14" s="33">
        <f t="shared" si="0"/>
        <v>0</v>
      </c>
      <c r="Q14" s="33">
        <f t="shared" si="0"/>
        <v>0</v>
      </c>
      <c r="R14" s="33">
        <f t="shared" si="0"/>
        <v>0</v>
      </c>
      <c r="S14" s="33">
        <f t="shared" si="1"/>
        <v>0</v>
      </c>
      <c r="T14" s="33">
        <f t="shared" si="2"/>
        <v>0</v>
      </c>
      <c r="U14" s="34" t="e">
        <f t="shared" si="3"/>
        <v>#DIV/0!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135.80000000000001</v>
      </c>
      <c r="F15" s="18">
        <v>105.3</v>
      </c>
      <c r="G15" s="18">
        <v>89.9</v>
      </c>
      <c r="I15" s="18">
        <f t="shared" ref="I15:I32" si="4">U15</f>
        <v>117.58188824662813</v>
      </c>
      <c r="J15" s="42">
        <f>(I15/'Urban 17-18'!I15)-1</f>
        <v>2.5551610100361E-2</v>
      </c>
      <c r="K15" s="16"/>
      <c r="M15" s="35">
        <f>182+79</f>
        <v>261</v>
      </c>
      <c r="N15" s="35">
        <f>89+66</f>
        <v>155</v>
      </c>
      <c r="O15" s="35">
        <f>55+48</f>
        <v>103</v>
      </c>
      <c r="P15" s="33">
        <f t="shared" si="0"/>
        <v>35443.800000000003</v>
      </c>
      <c r="Q15" s="33">
        <f t="shared" si="0"/>
        <v>16321.5</v>
      </c>
      <c r="R15" s="33">
        <f t="shared" si="0"/>
        <v>9259.7000000000007</v>
      </c>
      <c r="S15" s="33">
        <f t="shared" si="1"/>
        <v>519</v>
      </c>
      <c r="T15" s="33">
        <f t="shared" si="2"/>
        <v>61025</v>
      </c>
      <c r="U15" s="34">
        <f t="shared" si="3"/>
        <v>117.58188824662813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137.30000000000001</v>
      </c>
      <c r="F16" s="18">
        <v>99.3</v>
      </c>
      <c r="G16" s="18">
        <v>89.2</v>
      </c>
      <c r="I16" s="18">
        <f t="shared" si="4"/>
        <v>107.93317647058825</v>
      </c>
      <c r="J16" s="42">
        <f>(I16/'Urban 17-18'!I16)-1</f>
        <v>3.7866642222663449E-2</v>
      </c>
      <c r="K16" s="16"/>
      <c r="M16" s="35">
        <f>202+65</f>
        <v>267</v>
      </c>
      <c r="N16" s="35">
        <f>183+122</f>
        <v>305</v>
      </c>
      <c r="O16" s="35">
        <f>134+144</f>
        <v>278</v>
      </c>
      <c r="P16" s="33">
        <f t="shared" si="0"/>
        <v>36659.100000000006</v>
      </c>
      <c r="Q16" s="33">
        <f t="shared" si="0"/>
        <v>30286.5</v>
      </c>
      <c r="R16" s="33">
        <f t="shared" si="0"/>
        <v>24797.600000000002</v>
      </c>
      <c r="S16" s="33">
        <f t="shared" si="1"/>
        <v>850</v>
      </c>
      <c r="T16" s="33">
        <f t="shared" si="2"/>
        <v>91743.200000000012</v>
      </c>
      <c r="U16" s="34">
        <f t="shared" si="3"/>
        <v>107.93317647058825</v>
      </c>
    </row>
    <row r="17" spans="1:21" ht="13.5" customHeight="1" x14ac:dyDescent="0.2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155.4</v>
      </c>
      <c r="F18" s="18">
        <v>103.7</v>
      </c>
      <c r="G18" s="18">
        <v>96.7</v>
      </c>
      <c r="I18" s="18">
        <f t="shared" si="4"/>
        <v>123.91739980449658</v>
      </c>
      <c r="J18" s="42">
        <f>(I18/'Urban 17-18'!I18)-1</f>
        <v>3.9650382410985507E-2</v>
      </c>
      <c r="K18" s="16"/>
      <c r="M18" s="35">
        <f>343+89</f>
        <v>432</v>
      </c>
      <c r="N18" s="35">
        <f>203+152</f>
        <v>355</v>
      </c>
      <c r="O18" s="35">
        <f>140+96</f>
        <v>236</v>
      </c>
      <c r="P18" s="33">
        <f t="shared" si="0"/>
        <v>67132.800000000003</v>
      </c>
      <c r="Q18" s="33">
        <f t="shared" si="0"/>
        <v>36813.5</v>
      </c>
      <c r="R18" s="33">
        <f t="shared" si="0"/>
        <v>22821.200000000001</v>
      </c>
      <c r="S18" s="33">
        <f t="shared" si="1"/>
        <v>1023</v>
      </c>
      <c r="T18" s="33">
        <f t="shared" si="2"/>
        <v>126767.5</v>
      </c>
      <c r="U18" s="34">
        <f t="shared" si="3"/>
        <v>123.91739980449658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153</v>
      </c>
      <c r="F19" s="18">
        <v>107.9</v>
      </c>
      <c r="G19" s="18">
        <v>92.2</v>
      </c>
      <c r="I19" s="18">
        <f t="shared" si="4"/>
        <v>116.55223097112862</v>
      </c>
      <c r="J19" s="42">
        <f>(I19/'Urban 17-18'!I19)-1</f>
        <v>8.9644636570418434E-4</v>
      </c>
      <c r="K19" s="16"/>
      <c r="M19" s="35">
        <f>231+123</f>
        <v>354</v>
      </c>
      <c r="N19" s="35">
        <f>199+203</f>
        <v>402</v>
      </c>
      <c r="O19" s="35">
        <f>193+194</f>
        <v>387</v>
      </c>
      <c r="P19" s="33">
        <f t="shared" si="0"/>
        <v>54162</v>
      </c>
      <c r="Q19" s="33">
        <f t="shared" si="0"/>
        <v>43375.8</v>
      </c>
      <c r="R19" s="33">
        <f t="shared" si="0"/>
        <v>35681.4</v>
      </c>
      <c r="S19" s="33">
        <f t="shared" si="1"/>
        <v>1143</v>
      </c>
      <c r="T19" s="33">
        <f t="shared" si="2"/>
        <v>133219.20000000001</v>
      </c>
      <c r="U19" s="34">
        <f t="shared" si="3"/>
        <v>116.55223097112862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123.4</v>
      </c>
      <c r="F20" s="18">
        <v>88.9</v>
      </c>
      <c r="G20" s="18">
        <v>78.7</v>
      </c>
      <c r="I20" s="18">
        <f t="shared" si="4"/>
        <v>95.03518728717367</v>
      </c>
      <c r="J20" s="42">
        <f>(I20/'Urban 17-18'!I20)-1</f>
        <v>8.5300528269354192E-3</v>
      </c>
      <c r="K20" s="16"/>
      <c r="M20" s="35">
        <f>162+81</f>
        <v>243</v>
      </c>
      <c r="N20" s="35">
        <f>183+163</f>
        <v>346</v>
      </c>
      <c r="O20" s="35">
        <f>114+178</f>
        <v>292</v>
      </c>
      <c r="P20" s="33">
        <f t="shared" si="0"/>
        <v>29986.2</v>
      </c>
      <c r="Q20" s="33">
        <f t="shared" si="0"/>
        <v>30759.4</v>
      </c>
      <c r="R20" s="33">
        <f t="shared" si="0"/>
        <v>22980.400000000001</v>
      </c>
      <c r="S20" s="33">
        <f t="shared" si="1"/>
        <v>881</v>
      </c>
      <c r="T20" s="33">
        <f t="shared" si="2"/>
        <v>83726</v>
      </c>
      <c r="U20" s="34">
        <f t="shared" si="3"/>
        <v>95.03518728717367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141.4</v>
      </c>
      <c r="F21" s="18">
        <v>109.7</v>
      </c>
      <c r="G21" s="18">
        <v>86.8</v>
      </c>
      <c r="I21" s="18">
        <f t="shared" si="4"/>
        <v>110.37298387096774</v>
      </c>
      <c r="J21" s="42">
        <f>(I21/'Urban 17-18'!I21)-1</f>
        <v>-2.8524046592405261E-3</v>
      </c>
      <c r="K21" s="16"/>
      <c r="M21" s="35">
        <f>73+43</f>
        <v>116</v>
      </c>
      <c r="N21" s="35">
        <f>122+112</f>
        <v>234</v>
      </c>
      <c r="O21" s="35">
        <f>60+86</f>
        <v>146</v>
      </c>
      <c r="P21" s="33">
        <f t="shared" si="0"/>
        <v>16402.400000000001</v>
      </c>
      <c r="Q21" s="33">
        <f t="shared" si="0"/>
        <v>25669.8</v>
      </c>
      <c r="R21" s="33">
        <f t="shared" si="0"/>
        <v>12672.8</v>
      </c>
      <c r="S21" s="33">
        <f t="shared" si="1"/>
        <v>496</v>
      </c>
      <c r="T21" s="33">
        <f t="shared" si="2"/>
        <v>54745</v>
      </c>
      <c r="U21" s="34">
        <f t="shared" si="3"/>
        <v>110.37298387096774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118.2</v>
      </c>
      <c r="F22" s="18">
        <v>81.900000000000006</v>
      </c>
      <c r="G22" s="18">
        <v>71.7</v>
      </c>
      <c r="I22" s="18">
        <f t="shared" si="4"/>
        <v>88.879864864864871</v>
      </c>
      <c r="J22" s="42">
        <f>(I22/'Urban 17-18'!I22)-1</f>
        <v>1.75358256932725E-2</v>
      </c>
      <c r="K22" s="16"/>
      <c r="M22" s="35">
        <f>161+58</f>
        <v>219</v>
      </c>
      <c r="N22" s="35">
        <f>138+110</f>
        <v>248</v>
      </c>
      <c r="O22" s="35">
        <f>112+161</f>
        <v>273</v>
      </c>
      <c r="P22" s="33">
        <f t="shared" si="0"/>
        <v>25885.8</v>
      </c>
      <c r="Q22" s="33">
        <f t="shared" si="0"/>
        <v>20311.2</v>
      </c>
      <c r="R22" s="33">
        <f t="shared" si="0"/>
        <v>19574.100000000002</v>
      </c>
      <c r="S22" s="33">
        <f t="shared" si="1"/>
        <v>740</v>
      </c>
      <c r="T22" s="33">
        <f t="shared" si="2"/>
        <v>65771.100000000006</v>
      </c>
      <c r="U22" s="34">
        <f t="shared" si="3"/>
        <v>88.879864864864871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110.5</v>
      </c>
      <c r="F23" s="23">
        <v>83.2</v>
      </c>
      <c r="G23" s="23">
        <v>75.5</v>
      </c>
      <c r="H23" s="22"/>
      <c r="I23" s="23">
        <f t="shared" si="4"/>
        <v>88.174315068493158</v>
      </c>
      <c r="J23" s="44">
        <f>(I23/'Urban 17-18'!I23)-1</f>
        <v>1.5529725174095788E-2</v>
      </c>
      <c r="K23" s="16"/>
      <c r="M23" s="35">
        <f>92+68</f>
        <v>160</v>
      </c>
      <c r="N23" s="35">
        <f>135+99</f>
        <v>234</v>
      </c>
      <c r="O23" s="35">
        <f>88+102</f>
        <v>190</v>
      </c>
      <c r="P23" s="33">
        <f t="shared" si="0"/>
        <v>17680</v>
      </c>
      <c r="Q23" s="33">
        <f t="shared" si="0"/>
        <v>19468.8</v>
      </c>
      <c r="R23" s="33">
        <f t="shared" si="0"/>
        <v>14345</v>
      </c>
      <c r="S23" s="33">
        <f t="shared" si="1"/>
        <v>584</v>
      </c>
      <c r="T23" s="33">
        <f t="shared" si="2"/>
        <v>51493.8</v>
      </c>
      <c r="U23" s="34">
        <f t="shared" si="3"/>
        <v>88.174315068493158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104.1</v>
      </c>
      <c r="F24" s="23">
        <v>74.2</v>
      </c>
      <c r="G24" s="23">
        <v>65</v>
      </c>
      <c r="H24" s="22"/>
      <c r="I24" s="23">
        <f t="shared" si="4"/>
        <v>79.449009900990106</v>
      </c>
      <c r="J24" s="44">
        <f>(I24/'Urban 17-18'!I24)-1</f>
        <v>1.3200045334237132E-2</v>
      </c>
      <c r="K24" s="16"/>
      <c r="M24" s="35">
        <f>75+43</f>
        <v>118</v>
      </c>
      <c r="N24" s="35">
        <f>59+74</f>
        <v>133</v>
      </c>
      <c r="O24" s="35">
        <f>48+105</f>
        <v>153</v>
      </c>
      <c r="P24" s="33">
        <f t="shared" si="0"/>
        <v>12283.8</v>
      </c>
      <c r="Q24" s="33">
        <f t="shared" si="0"/>
        <v>9868.6</v>
      </c>
      <c r="R24" s="33">
        <f t="shared" si="0"/>
        <v>9945</v>
      </c>
      <c r="S24" s="33">
        <f t="shared" si="1"/>
        <v>404</v>
      </c>
      <c r="T24" s="33">
        <f t="shared" si="2"/>
        <v>32097.4</v>
      </c>
      <c r="U24" s="34">
        <f t="shared" si="3"/>
        <v>79.449009900990106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92.3</v>
      </c>
      <c r="F25" s="18">
        <v>70.7</v>
      </c>
      <c r="G25" s="18">
        <v>77.900000000000006</v>
      </c>
      <c r="I25" s="18">
        <f t="shared" si="4"/>
        <v>80.967264573991031</v>
      </c>
      <c r="J25" s="42">
        <f>(I25/'Urban 17-18'!I25)-1</f>
        <v>7.4394307773836488E-2</v>
      </c>
      <c r="K25" s="16"/>
      <c r="M25" s="35">
        <f>70+19</f>
        <v>89</v>
      </c>
      <c r="N25" s="35">
        <f>53+30</f>
        <v>83</v>
      </c>
      <c r="O25" s="35">
        <f>36+15</f>
        <v>51</v>
      </c>
      <c r="P25" s="33">
        <f t="shared" si="0"/>
        <v>8214.6999999999989</v>
      </c>
      <c r="Q25" s="33">
        <f t="shared" si="0"/>
        <v>5868.1</v>
      </c>
      <c r="R25" s="33">
        <f t="shared" si="0"/>
        <v>3972.9</v>
      </c>
      <c r="S25" s="33">
        <f t="shared" si="1"/>
        <v>223</v>
      </c>
      <c r="T25" s="33">
        <f t="shared" si="2"/>
        <v>18055.7</v>
      </c>
      <c r="U25" s="34">
        <f t="shared" si="3"/>
        <v>80.967264573991031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156.69999999999999</v>
      </c>
      <c r="F26" s="18">
        <v>103.2</v>
      </c>
      <c r="G26" s="18">
        <v>87</v>
      </c>
      <c r="I26" s="18">
        <f t="shared" si="4"/>
        <v>115.84401433691755</v>
      </c>
      <c r="J26" s="42">
        <f>(I26/'Urban 17-18'!I26)-1</f>
        <v>2.3159239325927228E-2</v>
      </c>
      <c r="K26" s="16"/>
      <c r="M26" s="35">
        <f>348+134</f>
        <v>482</v>
      </c>
      <c r="N26" s="35">
        <f>217+193</f>
        <v>410</v>
      </c>
      <c r="O26" s="35">
        <f>247+256</f>
        <v>503</v>
      </c>
      <c r="P26" s="33">
        <f t="shared" si="0"/>
        <v>75529.399999999994</v>
      </c>
      <c r="Q26" s="33">
        <f t="shared" si="0"/>
        <v>42312</v>
      </c>
      <c r="R26" s="33">
        <f t="shared" si="0"/>
        <v>43761</v>
      </c>
      <c r="S26" s="33">
        <f t="shared" si="1"/>
        <v>1395</v>
      </c>
      <c r="T26" s="33">
        <f t="shared" si="2"/>
        <v>161602.4</v>
      </c>
      <c r="U26" s="34">
        <f t="shared" si="3"/>
        <v>115.84401433691755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117.2</v>
      </c>
      <c r="F27" s="18">
        <v>89.2</v>
      </c>
      <c r="G27" s="18">
        <v>75</v>
      </c>
      <c r="I27" s="18">
        <f t="shared" si="4"/>
        <v>93.685024154589371</v>
      </c>
      <c r="J27" s="42">
        <f>(I27/'Urban 17-18'!I27)-1</f>
        <v>8.7777052677316059E-2</v>
      </c>
      <c r="K27" s="16"/>
      <c r="M27" s="35">
        <f>142+66</f>
        <v>208</v>
      </c>
      <c r="N27" s="35">
        <f>103+96</f>
        <v>199</v>
      </c>
      <c r="O27" s="35">
        <f>87+127</f>
        <v>214</v>
      </c>
      <c r="P27" s="33">
        <f t="shared" si="0"/>
        <v>24377.600000000002</v>
      </c>
      <c r="Q27" s="33">
        <f t="shared" si="0"/>
        <v>17750.8</v>
      </c>
      <c r="R27" s="33">
        <f t="shared" si="0"/>
        <v>16050</v>
      </c>
      <c r="S27" s="33">
        <f t="shared" si="1"/>
        <v>621</v>
      </c>
      <c r="T27" s="33">
        <f t="shared" si="2"/>
        <v>58178.400000000001</v>
      </c>
      <c r="U27" s="34">
        <f t="shared" si="3"/>
        <v>93.685024154589371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161.69999999999999</v>
      </c>
      <c r="F28" s="18">
        <v>108.6</v>
      </c>
      <c r="G28" s="18">
        <v>83.7</v>
      </c>
      <c r="I28" s="18">
        <f t="shared" si="4"/>
        <v>112.21882129277566</v>
      </c>
      <c r="J28" s="42">
        <f>(I28/'Urban 17-18'!I28)-1</f>
        <v>2.5616022057083354E-2</v>
      </c>
      <c r="K28" s="16"/>
      <c r="M28" s="35">
        <f>289+121</f>
        <v>410</v>
      </c>
      <c r="N28" s="35">
        <f>295+228</f>
        <v>523</v>
      </c>
      <c r="O28" s="35">
        <f>331+314</f>
        <v>645</v>
      </c>
      <c r="P28" s="33">
        <f t="shared" si="0"/>
        <v>66297</v>
      </c>
      <c r="Q28" s="33">
        <f t="shared" si="0"/>
        <v>56797.799999999996</v>
      </c>
      <c r="R28" s="33">
        <f t="shared" si="0"/>
        <v>53986.5</v>
      </c>
      <c r="S28" s="33">
        <f t="shared" si="1"/>
        <v>1578</v>
      </c>
      <c r="T28" s="33">
        <f t="shared" si="2"/>
        <v>177081.3</v>
      </c>
      <c r="U28" s="34">
        <f t="shared" si="3"/>
        <v>112.21882129277566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111.5</v>
      </c>
      <c r="F29" s="18">
        <v>92.7</v>
      </c>
      <c r="G29" s="18">
        <v>79.900000000000006</v>
      </c>
      <c r="I29" s="18">
        <f t="shared" si="4"/>
        <v>97.466728280961178</v>
      </c>
      <c r="J29" s="42">
        <f>(I29/'Urban 17-18'!I29)-1</f>
        <v>-4.3653219833152068E-2</v>
      </c>
      <c r="K29" s="16"/>
      <c r="M29" s="35">
        <f>156+69</f>
        <v>225</v>
      </c>
      <c r="N29" s="35">
        <f>116+71</f>
        <v>187</v>
      </c>
      <c r="O29" s="35">
        <f>69+60</f>
        <v>129</v>
      </c>
      <c r="P29" s="33">
        <f t="shared" si="0"/>
        <v>25087.5</v>
      </c>
      <c r="Q29" s="33">
        <f t="shared" si="0"/>
        <v>17334.900000000001</v>
      </c>
      <c r="R29" s="33">
        <f t="shared" si="0"/>
        <v>10307.1</v>
      </c>
      <c r="S29" s="33">
        <f t="shared" si="1"/>
        <v>541</v>
      </c>
      <c r="T29" s="33">
        <f t="shared" si="2"/>
        <v>52729.5</v>
      </c>
      <c r="U29" s="34">
        <f t="shared" si="3"/>
        <v>97.466728280961178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132.4</v>
      </c>
      <c r="F30" s="18">
        <v>89.9</v>
      </c>
      <c r="G30" s="18">
        <v>73.7</v>
      </c>
      <c r="I30" s="18">
        <f t="shared" si="4"/>
        <v>90.984972677595621</v>
      </c>
      <c r="J30" s="42">
        <f>(I30/'Urban 17-18'!I30)-1</f>
        <v>1.1404881383067389E-2</v>
      </c>
      <c r="K30" s="16"/>
      <c r="M30" s="35">
        <f>155+64</f>
        <v>219</v>
      </c>
      <c r="N30" s="35">
        <f>190+188</f>
        <v>378</v>
      </c>
      <c r="O30" s="35">
        <f>237+264</f>
        <v>501</v>
      </c>
      <c r="P30" s="33">
        <f t="shared" si="0"/>
        <v>28995.600000000002</v>
      </c>
      <c r="Q30" s="33">
        <f t="shared" si="0"/>
        <v>33982.200000000004</v>
      </c>
      <c r="R30" s="33">
        <f t="shared" si="0"/>
        <v>36923.700000000004</v>
      </c>
      <c r="S30" s="33">
        <f t="shared" si="1"/>
        <v>1098</v>
      </c>
      <c r="T30" s="33">
        <f t="shared" si="2"/>
        <v>99901.5</v>
      </c>
      <c r="U30" s="34">
        <f t="shared" si="3"/>
        <v>90.984972677595621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133.80000000000001</v>
      </c>
      <c r="F31" s="18">
        <v>100.4</v>
      </c>
      <c r="G31" s="18">
        <v>85.9</v>
      </c>
      <c r="I31" s="18">
        <f t="shared" si="4"/>
        <v>107.13251231527094</v>
      </c>
      <c r="J31" s="42">
        <f>(I31/'Urban 17-18'!I31)-1</f>
        <v>1.8264058567620145E-2</v>
      </c>
      <c r="K31" s="16"/>
      <c r="M31" s="35">
        <f>200+67</f>
        <v>267</v>
      </c>
      <c r="N31" s="35">
        <f>162+145</f>
        <v>307</v>
      </c>
      <c r="O31" s="35">
        <f>104+134</f>
        <v>238</v>
      </c>
      <c r="P31" s="33">
        <f t="shared" si="0"/>
        <v>35724.600000000006</v>
      </c>
      <c r="Q31" s="33">
        <f t="shared" si="0"/>
        <v>30822.800000000003</v>
      </c>
      <c r="R31" s="33">
        <f t="shared" si="0"/>
        <v>20444.2</v>
      </c>
      <c r="S31" s="33">
        <f t="shared" si="1"/>
        <v>812</v>
      </c>
      <c r="T31" s="33">
        <f t="shared" si="2"/>
        <v>86991.6</v>
      </c>
      <c r="U31" s="34">
        <f t="shared" si="3"/>
        <v>107.13251231527094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105.6</v>
      </c>
      <c r="F32" s="18">
        <v>80</v>
      </c>
      <c r="G32" s="18">
        <v>73.7</v>
      </c>
      <c r="I32" s="18">
        <f t="shared" si="4"/>
        <v>86.209553349875947</v>
      </c>
      <c r="J32" s="42">
        <f>(I32/'Urban 17-18'!I32)-1</f>
        <v>1.0824156604991586E-2</v>
      </c>
      <c r="K32" s="16"/>
      <c r="M32" s="35">
        <f>165+78</f>
        <v>243</v>
      </c>
      <c r="N32" s="35">
        <f>201+169</f>
        <v>370</v>
      </c>
      <c r="O32" s="35">
        <f>77+116</f>
        <v>193</v>
      </c>
      <c r="P32" s="33">
        <f t="shared" si="0"/>
        <v>25660.799999999999</v>
      </c>
      <c r="Q32" s="33">
        <f t="shared" si="0"/>
        <v>29600</v>
      </c>
      <c r="R32" s="33">
        <f t="shared" si="0"/>
        <v>14224.1</v>
      </c>
      <c r="S32" s="33">
        <f t="shared" si="1"/>
        <v>806</v>
      </c>
      <c r="T32" s="33">
        <f t="shared" si="2"/>
        <v>69484.900000000009</v>
      </c>
      <c r="U32" s="34">
        <f t="shared" si="3"/>
        <v>86.209553349875947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135.05093877551019</v>
      </c>
      <c r="F34" s="38">
        <f>Q34/N34</f>
        <v>95.521567557737768</v>
      </c>
      <c r="G34" s="38">
        <f t="shared" ref="G34" si="5">R34/O34</f>
        <v>81.593337184671668</v>
      </c>
      <c r="H34" s="36"/>
      <c r="I34" s="38">
        <f t="shared" ref="I34" si="6">U34</f>
        <v>103.30534248332478</v>
      </c>
      <c r="J34" s="43">
        <f>(I34/'Urban 17-18'!I34)-1</f>
        <v>2.1103171332086612E-2</v>
      </c>
      <c r="K34" s="16"/>
      <c r="M34" s="37">
        <f t="shared" ref="M34:R34" si="7">SUM(M12:M32)</f>
        <v>4900</v>
      </c>
      <c r="N34" s="37">
        <f t="shared" si="7"/>
        <v>5499</v>
      </c>
      <c r="O34" s="37">
        <f t="shared" si="7"/>
        <v>5193</v>
      </c>
      <c r="P34" s="37">
        <f t="shared" si="7"/>
        <v>661749.6</v>
      </c>
      <c r="Q34" s="37">
        <f t="shared" si="7"/>
        <v>525273.1</v>
      </c>
      <c r="R34" s="37">
        <f t="shared" si="7"/>
        <v>423714.19999999995</v>
      </c>
      <c r="S34" s="33">
        <f>M34+N34+O34</f>
        <v>15592</v>
      </c>
      <c r="T34" s="33">
        <f>P34+Q34+R34</f>
        <v>1610736.9</v>
      </c>
      <c r="U34" s="34">
        <f>T34/S34</f>
        <v>103.30534248332478</v>
      </c>
    </row>
    <row r="35" spans="1:21" ht="13.5" customHeight="1" x14ac:dyDescent="0.2">
      <c r="A35" s="17"/>
      <c r="D35" s="41" t="s">
        <v>44</v>
      </c>
      <c r="E35" s="38">
        <f>MEDIAN(E12:E32)</f>
        <v>132.4</v>
      </c>
      <c r="F35" s="38">
        <f>MEDIAN(F12:F32)</f>
        <v>92.7</v>
      </c>
      <c r="G35" s="38">
        <f>MEDIAN(G12:G32)</f>
        <v>79.900000000000006</v>
      </c>
      <c r="H35" s="36"/>
      <c r="I35" s="38">
        <f>MEDIAN(I12:I32)</f>
        <v>97.466728280961178</v>
      </c>
      <c r="J35" s="43">
        <f>(I35/'Urban 17-18'!I35)-1</f>
        <v>-9.78004455868553E-3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62</v>
      </c>
      <c r="K38" s="16"/>
    </row>
    <row r="39" spans="1:21" ht="13.5" customHeight="1" x14ac:dyDescent="0.2">
      <c r="A39" s="17"/>
      <c r="B39" s="14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72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69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135.1</v>
      </c>
      <c r="F12" s="18">
        <v>95</v>
      </c>
      <c r="G12" s="18">
        <v>81</v>
      </c>
      <c r="I12" s="18">
        <f>U12</f>
        <v>101.90190174326466</v>
      </c>
      <c r="J12" s="42">
        <f>(I12/'Urban 16-17'!I12)-1</f>
        <v>1.6801733652166417E-2</v>
      </c>
      <c r="K12" s="16"/>
      <c r="M12" s="35">
        <f>122+69</f>
        <v>191</v>
      </c>
      <c r="N12" s="35">
        <f>112+92</f>
        <v>204</v>
      </c>
      <c r="O12" s="35">
        <f>107+129</f>
        <v>236</v>
      </c>
      <c r="P12" s="33">
        <f t="shared" ref="P12:R32" si="0">E12*M12</f>
        <v>25804.1</v>
      </c>
      <c r="Q12" s="33">
        <f t="shared" si="0"/>
        <v>19380</v>
      </c>
      <c r="R12" s="33">
        <f t="shared" si="0"/>
        <v>19116</v>
      </c>
      <c r="S12" s="33">
        <f t="shared" ref="S12:S32" si="1">M12+N12+O12</f>
        <v>631</v>
      </c>
      <c r="T12" s="33">
        <f t="shared" ref="T12:T32" si="2">P12+Q12+R12</f>
        <v>64300.1</v>
      </c>
      <c r="U12" s="34">
        <f>T12/S12</f>
        <v>101.90190174326466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125.1</v>
      </c>
      <c r="F13" s="18">
        <v>86.5</v>
      </c>
      <c r="G13" s="18">
        <v>76</v>
      </c>
      <c r="I13" s="18">
        <f>U13</f>
        <v>94.956842105263149</v>
      </c>
      <c r="J13" s="42">
        <f>(I13/'Urban 16-17'!I13)-1</f>
        <v>2.1063344750621438E-2</v>
      </c>
      <c r="K13" s="16"/>
      <c r="M13" s="35">
        <f>261+126</f>
        <v>387</v>
      </c>
      <c r="N13" s="35">
        <f>211+209</f>
        <v>420</v>
      </c>
      <c r="O13" s="35">
        <f>207+221</f>
        <v>428</v>
      </c>
      <c r="P13" s="33">
        <f t="shared" si="0"/>
        <v>48413.7</v>
      </c>
      <c r="Q13" s="33">
        <f t="shared" si="0"/>
        <v>36330</v>
      </c>
      <c r="R13" s="33">
        <f t="shared" si="0"/>
        <v>32528</v>
      </c>
      <c r="S13" s="33">
        <f t="shared" si="1"/>
        <v>1235</v>
      </c>
      <c r="T13" s="33">
        <f t="shared" si="2"/>
        <v>117271.7</v>
      </c>
      <c r="U13" s="34">
        <f t="shared" ref="U13:U32" si="3">T13/S13</f>
        <v>94.956842105263149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112.2</v>
      </c>
      <c r="F14" s="18">
        <v>84.2</v>
      </c>
      <c r="G14" s="18">
        <v>80.3</v>
      </c>
      <c r="I14" s="18">
        <f t="shared" ref="I14:I32" si="4">U14</f>
        <v>91.561958997722087</v>
      </c>
      <c r="J14" s="42">
        <f>(I14/'Urban 16-17'!I14)-1</f>
        <v>2.7022558368360317E-2</v>
      </c>
      <c r="K14" s="16"/>
      <c r="M14" s="35">
        <f>89+43</f>
        <v>132</v>
      </c>
      <c r="N14" s="35">
        <f>108+80</f>
        <v>188</v>
      </c>
      <c r="O14" s="35">
        <f>50+69</f>
        <v>119</v>
      </c>
      <c r="P14" s="33">
        <f t="shared" si="0"/>
        <v>14810.4</v>
      </c>
      <c r="Q14" s="33">
        <f t="shared" si="0"/>
        <v>15829.6</v>
      </c>
      <c r="R14" s="33">
        <f t="shared" si="0"/>
        <v>9555.6999999999989</v>
      </c>
      <c r="S14" s="33">
        <f t="shared" si="1"/>
        <v>439</v>
      </c>
      <c r="T14" s="33">
        <f t="shared" si="2"/>
        <v>40195.699999999997</v>
      </c>
      <c r="U14" s="34">
        <f t="shared" si="3"/>
        <v>91.561958997722087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134</v>
      </c>
      <c r="F15" s="18">
        <v>103.4</v>
      </c>
      <c r="G15" s="18">
        <v>88.3</v>
      </c>
      <c r="I15" s="18">
        <f t="shared" si="4"/>
        <v>114.65233644859813</v>
      </c>
      <c r="J15" s="42">
        <f>(I15/'Urban 16-17'!I15)-1</f>
        <v>0.11064247982136721</v>
      </c>
      <c r="K15" s="16"/>
      <c r="M15" s="35">
        <f>182+70</f>
        <v>252</v>
      </c>
      <c r="N15" s="35">
        <f>95+76</f>
        <v>171</v>
      </c>
      <c r="O15" s="35">
        <f>60+52</f>
        <v>112</v>
      </c>
      <c r="P15" s="33">
        <f t="shared" si="0"/>
        <v>33768</v>
      </c>
      <c r="Q15" s="33">
        <f t="shared" si="0"/>
        <v>17681.400000000001</v>
      </c>
      <c r="R15" s="33">
        <f t="shared" si="0"/>
        <v>9889.6</v>
      </c>
      <c r="S15" s="33">
        <f t="shared" si="1"/>
        <v>535</v>
      </c>
      <c r="T15" s="33">
        <f t="shared" si="2"/>
        <v>61339</v>
      </c>
      <c r="U15" s="34">
        <f t="shared" si="3"/>
        <v>114.65233644859813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130.9</v>
      </c>
      <c r="F16" s="18">
        <v>96.9</v>
      </c>
      <c r="G16" s="18">
        <v>86.5</v>
      </c>
      <c r="I16" s="18">
        <f t="shared" si="4"/>
        <v>103.9952264381885</v>
      </c>
      <c r="J16" s="42">
        <f>(I16/'Urban 16-17'!I16)-1</f>
        <v>2.0123611679857767E-2</v>
      </c>
      <c r="K16" s="16"/>
      <c r="M16" s="35">
        <f>195+59</f>
        <v>254</v>
      </c>
      <c r="N16" s="35">
        <f>175+115</f>
        <v>290</v>
      </c>
      <c r="O16" s="35">
        <f>131+142</f>
        <v>273</v>
      </c>
      <c r="P16" s="33">
        <f t="shared" si="0"/>
        <v>33248.6</v>
      </c>
      <c r="Q16" s="33">
        <f t="shared" si="0"/>
        <v>28101</v>
      </c>
      <c r="R16" s="33">
        <f t="shared" si="0"/>
        <v>23614.5</v>
      </c>
      <c r="S16" s="33">
        <f t="shared" si="1"/>
        <v>817</v>
      </c>
      <c r="T16" s="33">
        <f t="shared" si="2"/>
        <v>84964.1</v>
      </c>
      <c r="U16" s="34">
        <f t="shared" si="3"/>
        <v>103.9952264381885</v>
      </c>
    </row>
    <row r="17" spans="1:21" ht="13.5" customHeight="1" x14ac:dyDescent="0.2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150.9</v>
      </c>
      <c r="F18" s="18">
        <v>99.3</v>
      </c>
      <c r="G18" s="18">
        <v>92.8</v>
      </c>
      <c r="I18" s="18">
        <f t="shared" si="4"/>
        <v>119.19141463414634</v>
      </c>
      <c r="J18" s="42">
        <f>(I18/'Urban 16-17'!I18)-1</f>
        <v>6.4870765859106339E-3</v>
      </c>
      <c r="K18" s="16"/>
      <c r="M18" s="35">
        <f>344+83</f>
        <v>427</v>
      </c>
      <c r="N18" s="35">
        <f>197+148</f>
        <v>345</v>
      </c>
      <c r="O18" s="35">
        <f>152+101</f>
        <v>253</v>
      </c>
      <c r="P18" s="33">
        <f t="shared" si="0"/>
        <v>64434.3</v>
      </c>
      <c r="Q18" s="33">
        <f t="shared" si="0"/>
        <v>34258.5</v>
      </c>
      <c r="R18" s="33">
        <f t="shared" si="0"/>
        <v>23478.399999999998</v>
      </c>
      <c r="S18" s="33">
        <f t="shared" si="1"/>
        <v>1025</v>
      </c>
      <c r="T18" s="33">
        <f t="shared" si="2"/>
        <v>122171.2</v>
      </c>
      <c r="U18" s="34">
        <f t="shared" si="3"/>
        <v>119.19141463414634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151.1</v>
      </c>
      <c r="F19" s="18">
        <v>108.9</v>
      </c>
      <c r="G19" s="18">
        <v>92.9</v>
      </c>
      <c r="I19" s="18">
        <f t="shared" si="4"/>
        <v>116.44784172661871</v>
      </c>
      <c r="J19" s="42">
        <f>(I19/'Urban 16-17'!I19)-1</f>
        <v>2.9897697220636621E-2</v>
      </c>
      <c r="K19" s="16"/>
      <c r="M19" s="35">
        <f>230+116</f>
        <v>346</v>
      </c>
      <c r="N19" s="35">
        <f>181+197</f>
        <v>378</v>
      </c>
      <c r="O19" s="35">
        <f>197+191</f>
        <v>388</v>
      </c>
      <c r="P19" s="33">
        <f t="shared" si="0"/>
        <v>52280.6</v>
      </c>
      <c r="Q19" s="33">
        <f t="shared" si="0"/>
        <v>41164.200000000004</v>
      </c>
      <c r="R19" s="33">
        <f t="shared" si="0"/>
        <v>36045.200000000004</v>
      </c>
      <c r="S19" s="33">
        <f t="shared" si="1"/>
        <v>1112</v>
      </c>
      <c r="T19" s="33">
        <f t="shared" si="2"/>
        <v>129490</v>
      </c>
      <c r="U19" s="34">
        <f t="shared" si="3"/>
        <v>116.44784172661871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121.9</v>
      </c>
      <c r="F20" s="18">
        <v>87.4</v>
      </c>
      <c r="G20" s="18">
        <v>78.400000000000006</v>
      </c>
      <c r="I20" s="18">
        <f t="shared" si="4"/>
        <v>94.231388564760792</v>
      </c>
      <c r="J20" s="42">
        <f>(I20/'Urban 16-17'!I20)-1</f>
        <v>2.1947453808212725E-2</v>
      </c>
      <c r="K20" s="16"/>
      <c r="M20" s="35">
        <f>167+76</f>
        <v>243</v>
      </c>
      <c r="N20" s="35">
        <f>174+159</f>
        <v>333</v>
      </c>
      <c r="O20" s="35">
        <f>115+166</f>
        <v>281</v>
      </c>
      <c r="P20" s="33">
        <f t="shared" si="0"/>
        <v>29621.7</v>
      </c>
      <c r="Q20" s="33">
        <f t="shared" si="0"/>
        <v>29104.2</v>
      </c>
      <c r="R20" s="33">
        <f t="shared" si="0"/>
        <v>22030.400000000001</v>
      </c>
      <c r="S20" s="33">
        <f t="shared" si="1"/>
        <v>857</v>
      </c>
      <c r="T20" s="33">
        <f t="shared" si="2"/>
        <v>80756.3</v>
      </c>
      <c r="U20" s="34">
        <f t="shared" si="3"/>
        <v>94.231388564760792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144.9</v>
      </c>
      <c r="F21" s="18">
        <v>109.2</v>
      </c>
      <c r="G21" s="18">
        <v>88.2</v>
      </c>
      <c r="I21" s="18">
        <f t="shared" si="4"/>
        <v>110.68871287128714</v>
      </c>
      <c r="J21" s="42">
        <f>(I21/'Urban 16-17'!I21)-1</f>
        <v>2.1050295747446768E-2</v>
      </c>
      <c r="K21" s="16"/>
      <c r="M21" s="35">
        <f>76+38</f>
        <v>114</v>
      </c>
      <c r="N21" s="35">
        <f>120+113</f>
        <v>233</v>
      </c>
      <c r="O21" s="35">
        <f>67+91</f>
        <v>158</v>
      </c>
      <c r="P21" s="33">
        <f t="shared" si="0"/>
        <v>16518.600000000002</v>
      </c>
      <c r="Q21" s="33">
        <f t="shared" si="0"/>
        <v>25443.600000000002</v>
      </c>
      <c r="R21" s="33">
        <f t="shared" si="0"/>
        <v>13935.6</v>
      </c>
      <c r="S21" s="33">
        <f t="shared" si="1"/>
        <v>505</v>
      </c>
      <c r="T21" s="33">
        <f t="shared" si="2"/>
        <v>55897.8</v>
      </c>
      <c r="U21" s="34">
        <f t="shared" si="3"/>
        <v>110.68871287128714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116.5</v>
      </c>
      <c r="F22" s="18">
        <v>79.8</v>
      </c>
      <c r="G22" s="18">
        <v>70.900000000000006</v>
      </c>
      <c r="I22" s="18">
        <f t="shared" si="4"/>
        <v>87.348143053645117</v>
      </c>
      <c r="J22" s="42">
        <f>(I22/'Urban 16-17'!I22)-1</f>
        <v>3.5426803802934614E-2</v>
      </c>
      <c r="K22" s="16"/>
      <c r="M22" s="35">
        <f>165+50</f>
        <v>215</v>
      </c>
      <c r="N22" s="35">
        <f>130+112</f>
        <v>242</v>
      </c>
      <c r="O22" s="35">
        <f>116+154</f>
        <v>270</v>
      </c>
      <c r="P22" s="33">
        <f t="shared" si="0"/>
        <v>25047.5</v>
      </c>
      <c r="Q22" s="33">
        <f t="shared" si="0"/>
        <v>19311.599999999999</v>
      </c>
      <c r="R22" s="33">
        <f t="shared" si="0"/>
        <v>19143</v>
      </c>
      <c r="S22" s="33">
        <f t="shared" si="1"/>
        <v>727</v>
      </c>
      <c r="T22" s="33">
        <f t="shared" si="2"/>
        <v>63502.1</v>
      </c>
      <c r="U22" s="34">
        <f t="shared" si="3"/>
        <v>87.348143053645117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110.1</v>
      </c>
      <c r="F23" s="23">
        <v>80.400000000000006</v>
      </c>
      <c r="G23" s="23">
        <v>74.5</v>
      </c>
      <c r="H23" s="22"/>
      <c r="I23" s="23">
        <f t="shared" si="4"/>
        <v>86.82593220338984</v>
      </c>
      <c r="J23" s="44">
        <f>(I23/'Urban 16-17'!I23)-1</f>
        <v>7.5302250413664673E-3</v>
      </c>
      <c r="K23" s="16"/>
      <c r="M23" s="35">
        <f>98+67</f>
        <v>165</v>
      </c>
      <c r="N23" s="35">
        <f>137+100</f>
        <v>237</v>
      </c>
      <c r="O23" s="35">
        <f>80+108</f>
        <v>188</v>
      </c>
      <c r="P23" s="33">
        <f t="shared" si="0"/>
        <v>18166.5</v>
      </c>
      <c r="Q23" s="33">
        <f t="shared" si="0"/>
        <v>19054.800000000003</v>
      </c>
      <c r="R23" s="33">
        <f t="shared" si="0"/>
        <v>14006</v>
      </c>
      <c r="S23" s="33">
        <f t="shared" si="1"/>
        <v>590</v>
      </c>
      <c r="T23" s="33">
        <f t="shared" si="2"/>
        <v>51227.3</v>
      </c>
      <c r="U23" s="34">
        <f t="shared" si="3"/>
        <v>86.82593220338984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102.7</v>
      </c>
      <c r="F24" s="23">
        <v>71.7</v>
      </c>
      <c r="G24" s="23">
        <v>64.900000000000006</v>
      </c>
      <c r="H24" s="22"/>
      <c r="I24" s="23">
        <f t="shared" si="4"/>
        <v>78.413942307692309</v>
      </c>
      <c r="J24" s="44">
        <f>(I24/'Urban 16-17'!I24)-1</f>
        <v>1.2369589839134054E-3</v>
      </c>
      <c r="K24" s="16"/>
      <c r="M24" s="35">
        <f>78+45</f>
        <v>123</v>
      </c>
      <c r="N24" s="35">
        <f>64+79</f>
        <v>143</v>
      </c>
      <c r="O24" s="35">
        <f>51+99</f>
        <v>150</v>
      </c>
      <c r="P24" s="33">
        <f t="shared" si="0"/>
        <v>12632.1</v>
      </c>
      <c r="Q24" s="33">
        <f t="shared" si="0"/>
        <v>10253.1</v>
      </c>
      <c r="R24" s="33">
        <f t="shared" si="0"/>
        <v>9735</v>
      </c>
      <c r="S24" s="33">
        <f t="shared" si="1"/>
        <v>416</v>
      </c>
      <c r="T24" s="33">
        <f t="shared" si="2"/>
        <v>32620.2</v>
      </c>
      <c r="U24" s="34">
        <f t="shared" si="3"/>
        <v>78.413942307692309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84.8</v>
      </c>
      <c r="F25" s="18">
        <v>67.8</v>
      </c>
      <c r="G25" s="18">
        <v>70.3</v>
      </c>
      <c r="I25" s="18">
        <f t="shared" si="4"/>
        <v>75.360846560846554</v>
      </c>
      <c r="J25" s="42">
        <f>(I25/'Urban 16-17'!I25)-1</f>
        <v>-1.7324116713512083E-2</v>
      </c>
      <c r="K25" s="16"/>
      <c r="M25" s="35">
        <f>60+17</f>
        <v>77</v>
      </c>
      <c r="N25" s="35">
        <f>42+22</f>
        <v>64</v>
      </c>
      <c r="O25" s="35">
        <f>36+12</f>
        <v>48</v>
      </c>
      <c r="P25" s="33">
        <f t="shared" si="0"/>
        <v>6529.5999999999995</v>
      </c>
      <c r="Q25" s="33">
        <f t="shared" si="0"/>
        <v>4339.2</v>
      </c>
      <c r="R25" s="33">
        <f t="shared" si="0"/>
        <v>3374.3999999999996</v>
      </c>
      <c r="S25" s="33">
        <f t="shared" si="1"/>
        <v>189</v>
      </c>
      <c r="T25" s="33">
        <f t="shared" si="2"/>
        <v>14243.199999999999</v>
      </c>
      <c r="U25" s="34">
        <f t="shared" si="3"/>
        <v>75.360846560846554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153</v>
      </c>
      <c r="F26" s="18">
        <v>101.1</v>
      </c>
      <c r="G26" s="18">
        <v>85.6</v>
      </c>
      <c r="I26" s="18">
        <f t="shared" si="4"/>
        <v>113.22188168210975</v>
      </c>
      <c r="J26" s="42">
        <f>(I26/'Urban 16-17'!I26)-1</f>
        <v>4.2720866117577083E-2</v>
      </c>
      <c r="K26" s="16"/>
      <c r="M26" s="35">
        <f>355+125</f>
        <v>480</v>
      </c>
      <c r="N26" s="35">
        <f>225+188</f>
        <v>413</v>
      </c>
      <c r="O26" s="35">
        <f>257+253</f>
        <v>510</v>
      </c>
      <c r="P26" s="33">
        <f t="shared" si="0"/>
        <v>73440</v>
      </c>
      <c r="Q26" s="33">
        <f t="shared" si="0"/>
        <v>41754.299999999996</v>
      </c>
      <c r="R26" s="33">
        <f t="shared" si="0"/>
        <v>43656</v>
      </c>
      <c r="S26" s="33">
        <f t="shared" si="1"/>
        <v>1403</v>
      </c>
      <c r="T26" s="33">
        <f t="shared" si="2"/>
        <v>158850.29999999999</v>
      </c>
      <c r="U26" s="34">
        <f t="shared" si="3"/>
        <v>113.22188168210975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106.5</v>
      </c>
      <c r="F27" s="18">
        <v>83.5</v>
      </c>
      <c r="G27" s="18">
        <v>71.599999999999994</v>
      </c>
      <c r="I27" s="18">
        <f t="shared" si="4"/>
        <v>86.125207296849084</v>
      </c>
      <c r="J27" s="42">
        <f>(I27/'Urban 16-17'!I27)-1</f>
        <v>-6.9736657002453795E-3</v>
      </c>
      <c r="K27" s="16"/>
      <c r="M27" s="35">
        <f>135+58</f>
        <v>193</v>
      </c>
      <c r="N27" s="35">
        <f>93+77</f>
        <v>170</v>
      </c>
      <c r="O27" s="35">
        <f>103+137</f>
        <v>240</v>
      </c>
      <c r="P27" s="33">
        <f t="shared" si="0"/>
        <v>20554.5</v>
      </c>
      <c r="Q27" s="33">
        <f t="shared" si="0"/>
        <v>14195</v>
      </c>
      <c r="R27" s="33">
        <f t="shared" si="0"/>
        <v>17184</v>
      </c>
      <c r="S27" s="33">
        <f t="shared" si="1"/>
        <v>603</v>
      </c>
      <c r="T27" s="33">
        <f t="shared" si="2"/>
        <v>51933.5</v>
      </c>
      <c r="U27" s="34">
        <f t="shared" si="3"/>
        <v>86.125207296849084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157</v>
      </c>
      <c r="F28" s="18">
        <v>107.3</v>
      </c>
      <c r="G28" s="18">
        <v>81.5</v>
      </c>
      <c r="I28" s="18">
        <f t="shared" si="4"/>
        <v>109.41601815823606</v>
      </c>
      <c r="J28" s="42">
        <f>(I28/'Urban 16-17'!I28)-1</f>
        <v>3.2570699012070881E-2</v>
      </c>
      <c r="K28" s="16"/>
      <c r="M28" s="35">
        <f>291+110</f>
        <v>401</v>
      </c>
      <c r="N28" s="35">
        <f>294+201</f>
        <v>495</v>
      </c>
      <c r="O28" s="35">
        <f>325+321</f>
        <v>646</v>
      </c>
      <c r="P28" s="33">
        <f t="shared" si="0"/>
        <v>62957</v>
      </c>
      <c r="Q28" s="33">
        <f t="shared" si="0"/>
        <v>53113.5</v>
      </c>
      <c r="R28" s="33">
        <f t="shared" si="0"/>
        <v>52649</v>
      </c>
      <c r="S28" s="33">
        <f t="shared" si="1"/>
        <v>1542</v>
      </c>
      <c r="T28" s="33">
        <f t="shared" si="2"/>
        <v>168719.5</v>
      </c>
      <c r="U28" s="34">
        <f t="shared" si="3"/>
        <v>109.41601815823606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119.4</v>
      </c>
      <c r="F29" s="18">
        <v>96</v>
      </c>
      <c r="G29" s="18">
        <v>84</v>
      </c>
      <c r="I29" s="18">
        <f t="shared" si="4"/>
        <v>101.91567567567567</v>
      </c>
      <c r="J29" s="42">
        <f>(I29/'Urban 16-17'!I29)-1</f>
        <v>1.0908330811152611E-2</v>
      </c>
      <c r="K29" s="16"/>
      <c r="M29" s="35">
        <f>142+66</f>
        <v>208</v>
      </c>
      <c r="N29" s="35">
        <f>134+81</f>
        <v>215</v>
      </c>
      <c r="O29" s="35">
        <f>76+56</f>
        <v>132</v>
      </c>
      <c r="P29" s="33">
        <f t="shared" si="0"/>
        <v>24835.200000000001</v>
      </c>
      <c r="Q29" s="33">
        <f t="shared" si="0"/>
        <v>20640</v>
      </c>
      <c r="R29" s="33">
        <f t="shared" si="0"/>
        <v>11088</v>
      </c>
      <c r="S29" s="33">
        <f t="shared" si="1"/>
        <v>555</v>
      </c>
      <c r="T29" s="33">
        <f t="shared" si="2"/>
        <v>56563.199999999997</v>
      </c>
      <c r="U29" s="34">
        <f t="shared" si="3"/>
        <v>101.91567567567567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131.1</v>
      </c>
      <c r="F30" s="18">
        <v>89.7</v>
      </c>
      <c r="G30" s="18">
        <v>72</v>
      </c>
      <c r="I30" s="18">
        <f t="shared" si="4"/>
        <v>89.959000942507075</v>
      </c>
      <c r="J30" s="42">
        <f>(I30/'Urban 16-17'!I30)-1</f>
        <v>3.4384712264400541E-2</v>
      </c>
      <c r="K30" s="16"/>
      <c r="M30" s="35">
        <f>153+58</f>
        <v>211</v>
      </c>
      <c r="N30" s="35">
        <f>187+185</f>
        <v>372</v>
      </c>
      <c r="O30" s="35">
        <f>216+262</f>
        <v>478</v>
      </c>
      <c r="P30" s="33">
        <f t="shared" si="0"/>
        <v>27662.1</v>
      </c>
      <c r="Q30" s="33">
        <f t="shared" si="0"/>
        <v>33368.400000000001</v>
      </c>
      <c r="R30" s="33">
        <f t="shared" si="0"/>
        <v>34416</v>
      </c>
      <c r="S30" s="33">
        <f t="shared" si="1"/>
        <v>1061</v>
      </c>
      <c r="T30" s="33">
        <f t="shared" si="2"/>
        <v>95446.5</v>
      </c>
      <c r="U30" s="34">
        <f t="shared" si="3"/>
        <v>89.959000942507075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132.5</v>
      </c>
      <c r="F31" s="18">
        <v>97.6</v>
      </c>
      <c r="G31" s="18">
        <v>85.8</v>
      </c>
      <c r="I31" s="18">
        <f t="shared" si="4"/>
        <v>105.21093366093366</v>
      </c>
      <c r="J31" s="42">
        <f>(I31/'Urban 16-17'!I31)-1</f>
        <v>2.578344651555331E-2</v>
      </c>
      <c r="K31" s="16"/>
      <c r="M31" s="35">
        <f>197+62</f>
        <v>259</v>
      </c>
      <c r="N31" s="35">
        <f>172+142</f>
        <v>314</v>
      </c>
      <c r="O31" s="35">
        <f>99+142</f>
        <v>241</v>
      </c>
      <c r="P31" s="33">
        <f t="shared" si="0"/>
        <v>34317.5</v>
      </c>
      <c r="Q31" s="33">
        <f t="shared" si="0"/>
        <v>30646.399999999998</v>
      </c>
      <c r="R31" s="33">
        <f t="shared" si="0"/>
        <v>20677.8</v>
      </c>
      <c r="S31" s="33">
        <f t="shared" si="1"/>
        <v>814</v>
      </c>
      <c r="T31" s="33">
        <f t="shared" si="2"/>
        <v>85641.7</v>
      </c>
      <c r="U31" s="34">
        <f t="shared" si="3"/>
        <v>105.21093366093366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104.7</v>
      </c>
      <c r="F32" s="18">
        <v>78.5</v>
      </c>
      <c r="G32" s="18">
        <v>74.3</v>
      </c>
      <c r="I32" s="18">
        <f t="shared" si="4"/>
        <v>85.2864</v>
      </c>
      <c r="J32" s="42">
        <f>(I32/'Urban 16-17'!I32)-1</f>
        <v>8.7713516600047559E-3</v>
      </c>
      <c r="K32" s="16"/>
      <c r="M32" s="35">
        <f>156+66</f>
        <v>222</v>
      </c>
      <c r="N32" s="35">
        <f>194+161</f>
        <v>355</v>
      </c>
      <c r="O32" s="35">
        <f>64+109</f>
        <v>173</v>
      </c>
      <c r="P32" s="33">
        <f t="shared" si="0"/>
        <v>23243.4</v>
      </c>
      <c r="Q32" s="33">
        <f t="shared" si="0"/>
        <v>27867.5</v>
      </c>
      <c r="R32" s="33">
        <f t="shared" si="0"/>
        <v>12853.9</v>
      </c>
      <c r="S32" s="33">
        <f t="shared" si="1"/>
        <v>750</v>
      </c>
      <c r="T32" s="33">
        <f t="shared" si="2"/>
        <v>63964.800000000003</v>
      </c>
      <c r="U32" s="34">
        <f t="shared" si="3"/>
        <v>85.2864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132.30314285714283</v>
      </c>
      <c r="F34" s="38">
        <f>Q34/N34</f>
        <v>93.485542816194922</v>
      </c>
      <c r="G34" s="38">
        <f t="shared" ref="G34" si="5">R34/O34</f>
        <v>80.574098422238919</v>
      </c>
      <c r="H34" s="36"/>
      <c r="I34" s="38">
        <f t="shared" ref="I34" si="6">U34</f>
        <v>101.17032772364925</v>
      </c>
      <c r="J34" s="43">
        <f>(I34/'Urban 16-17'!I34)-1</f>
        <v>2.6568029346750732E-2</v>
      </c>
      <c r="K34" s="16"/>
      <c r="M34" s="37">
        <f t="shared" ref="M34:R34" si="7">SUM(M12:M32)</f>
        <v>4900</v>
      </c>
      <c r="N34" s="37">
        <f t="shared" si="7"/>
        <v>5582</v>
      </c>
      <c r="O34" s="37">
        <f t="shared" si="7"/>
        <v>5324</v>
      </c>
      <c r="P34" s="37">
        <f t="shared" si="7"/>
        <v>648285.39999999991</v>
      </c>
      <c r="Q34" s="37">
        <f t="shared" si="7"/>
        <v>521836.30000000005</v>
      </c>
      <c r="R34" s="37">
        <f t="shared" si="7"/>
        <v>428976.5</v>
      </c>
      <c r="S34" s="33">
        <f>M34+N34+O34</f>
        <v>15806</v>
      </c>
      <c r="T34" s="33">
        <f>P34+Q34+R34</f>
        <v>1599098.2</v>
      </c>
      <c r="U34" s="34">
        <f>T34/S34</f>
        <v>101.17032772364925</v>
      </c>
    </row>
    <row r="35" spans="1:21" ht="13.5" customHeight="1" x14ac:dyDescent="0.2">
      <c r="A35" s="17"/>
      <c r="D35" s="41" t="s">
        <v>44</v>
      </c>
      <c r="E35" s="38">
        <f>MEDIAN(E12:E32)</f>
        <v>128</v>
      </c>
      <c r="F35" s="38">
        <f>MEDIAN(F12:F32)</f>
        <v>92.35</v>
      </c>
      <c r="G35" s="38">
        <f>MEDIAN(G12:G32)</f>
        <v>80.650000000000006</v>
      </c>
      <c r="H35" s="36"/>
      <c r="I35" s="38">
        <f>MEDIAN(I12:I32)</f>
        <v>98.429371924263904</v>
      </c>
      <c r="J35" s="43">
        <f>(I35/'Urban 16-17'!I35)-1</f>
        <v>1.8852915551255123E-2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62</v>
      </c>
      <c r="K38" s="16"/>
    </row>
    <row r="39" spans="1:21" ht="13.5" customHeight="1" x14ac:dyDescent="0.2">
      <c r="A39" s="17"/>
      <c r="B39" s="14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70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67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134.80000000000001</v>
      </c>
      <c r="F12" s="18">
        <v>94.4</v>
      </c>
      <c r="G12" s="18">
        <v>78.7</v>
      </c>
      <c r="I12" s="18">
        <f>U12</f>
        <v>100.21806451612903</v>
      </c>
      <c r="J12" s="42">
        <f>(I12/'Urban 15-16'!I12)-1</f>
        <v>2.7023649259643623E-2</v>
      </c>
      <c r="K12" s="16"/>
      <c r="M12" s="35">
        <f>125+56</f>
        <v>181</v>
      </c>
      <c r="N12" s="35">
        <f>105+98</f>
        <v>203</v>
      </c>
      <c r="O12" s="35">
        <f>110+126</f>
        <v>236</v>
      </c>
      <c r="P12" s="33">
        <f t="shared" ref="P12:R32" si="0">E12*M12</f>
        <v>24398.800000000003</v>
      </c>
      <c r="Q12" s="33">
        <f t="shared" si="0"/>
        <v>19163.2</v>
      </c>
      <c r="R12" s="33">
        <f t="shared" si="0"/>
        <v>18573.2</v>
      </c>
      <c r="S12" s="33">
        <f t="shared" ref="S12:S32" si="1">M12+N12+O12</f>
        <v>620</v>
      </c>
      <c r="T12" s="33">
        <f t="shared" ref="T12:T32" si="2">P12+Q12+R12</f>
        <v>62135.199999999997</v>
      </c>
      <c r="U12" s="34">
        <f>T12/S12</f>
        <v>100.21806451612903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121.8</v>
      </c>
      <c r="F13" s="18">
        <v>84.2</v>
      </c>
      <c r="G13" s="18">
        <v>74.599999999999994</v>
      </c>
      <c r="I13" s="18">
        <f>U13</f>
        <v>92.997993311036794</v>
      </c>
      <c r="J13" s="42">
        <f>(I13/'Urban 15-16'!I13)-1</f>
        <v>2.5369108251074524E-2</v>
      </c>
      <c r="K13" s="16"/>
      <c r="M13" s="35">
        <f>260+123</f>
        <v>383</v>
      </c>
      <c r="N13" s="35">
        <f>210+199</f>
        <v>409</v>
      </c>
      <c r="O13" s="35">
        <f>190+214</f>
        <v>404</v>
      </c>
      <c r="P13" s="33">
        <f t="shared" si="0"/>
        <v>46649.4</v>
      </c>
      <c r="Q13" s="33">
        <f t="shared" si="0"/>
        <v>34437.800000000003</v>
      </c>
      <c r="R13" s="33">
        <f t="shared" si="0"/>
        <v>30138.399999999998</v>
      </c>
      <c r="S13" s="33">
        <f t="shared" si="1"/>
        <v>1196</v>
      </c>
      <c r="T13" s="33">
        <f t="shared" si="2"/>
        <v>111225.60000000001</v>
      </c>
      <c r="U13" s="34">
        <f t="shared" ref="U13:U32" si="3">T13/S13</f>
        <v>92.997993311036794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111.3</v>
      </c>
      <c r="F14" s="18">
        <v>81.7</v>
      </c>
      <c r="G14" s="18">
        <v>76.099999999999994</v>
      </c>
      <c r="I14" s="18">
        <f t="shared" ref="I14:I32" si="4">U14</f>
        <v>89.152821670428906</v>
      </c>
      <c r="J14" s="42">
        <f>(I14/'Urban 15-16'!I14)-1</f>
        <v>4.6300155019929568E-2</v>
      </c>
      <c r="K14" s="16"/>
      <c r="M14" s="35">
        <f>90+45</f>
        <v>135</v>
      </c>
      <c r="N14" s="35">
        <f>107+77</f>
        <v>184</v>
      </c>
      <c r="O14" s="35">
        <f>54+70</f>
        <v>124</v>
      </c>
      <c r="P14" s="33">
        <f t="shared" si="0"/>
        <v>15025.5</v>
      </c>
      <c r="Q14" s="33">
        <f t="shared" si="0"/>
        <v>15032.800000000001</v>
      </c>
      <c r="R14" s="33">
        <f t="shared" si="0"/>
        <v>9436.4</v>
      </c>
      <c r="S14" s="33">
        <f t="shared" si="1"/>
        <v>443</v>
      </c>
      <c r="T14" s="33">
        <f t="shared" si="2"/>
        <v>39494.700000000004</v>
      </c>
      <c r="U14" s="34">
        <f t="shared" si="3"/>
        <v>89.152821670428906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121.5</v>
      </c>
      <c r="F15" s="18">
        <v>93.7</v>
      </c>
      <c r="G15" s="18">
        <v>80.2</v>
      </c>
      <c r="I15" s="18">
        <f t="shared" si="4"/>
        <v>103.23064220183485</v>
      </c>
      <c r="J15" s="42">
        <f>(I15/'Urban 15-16'!I15)-1</f>
        <v>1.1787588875715516E-2</v>
      </c>
      <c r="K15" s="16"/>
      <c r="M15" s="35">
        <f>178+71</f>
        <v>249</v>
      </c>
      <c r="N15" s="35">
        <f>93+75</f>
        <v>168</v>
      </c>
      <c r="O15" s="35">
        <f>69+59</f>
        <v>128</v>
      </c>
      <c r="P15" s="33">
        <f t="shared" si="0"/>
        <v>30253.5</v>
      </c>
      <c r="Q15" s="33">
        <f t="shared" si="0"/>
        <v>15741.6</v>
      </c>
      <c r="R15" s="33">
        <f t="shared" si="0"/>
        <v>10265.6</v>
      </c>
      <c r="S15" s="33">
        <f t="shared" si="1"/>
        <v>545</v>
      </c>
      <c r="T15" s="33">
        <f t="shared" si="2"/>
        <v>56260.7</v>
      </c>
      <c r="U15" s="34">
        <f t="shared" si="3"/>
        <v>103.23064220183485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128.1</v>
      </c>
      <c r="F16" s="18">
        <v>94.8</v>
      </c>
      <c r="G16" s="18">
        <v>86.3</v>
      </c>
      <c r="I16" s="18">
        <f t="shared" si="4"/>
        <v>101.94374999999999</v>
      </c>
      <c r="J16" s="42">
        <f>(I16/'Urban 15-16'!I16)-1</f>
        <v>1.9020740304026118E-2</v>
      </c>
      <c r="K16" s="16"/>
      <c r="M16" s="35">
        <f>192+60</f>
        <v>252</v>
      </c>
      <c r="N16" s="35">
        <f>177+115</f>
        <v>292</v>
      </c>
      <c r="O16" s="35">
        <f>144+144</f>
        <v>288</v>
      </c>
      <c r="P16" s="33">
        <f t="shared" si="0"/>
        <v>32281.199999999997</v>
      </c>
      <c r="Q16" s="33">
        <f t="shared" si="0"/>
        <v>27681.599999999999</v>
      </c>
      <c r="R16" s="33">
        <f t="shared" si="0"/>
        <v>24854.399999999998</v>
      </c>
      <c r="S16" s="33">
        <f t="shared" si="1"/>
        <v>832</v>
      </c>
      <c r="T16" s="33">
        <f t="shared" si="2"/>
        <v>84817.2</v>
      </c>
      <c r="U16" s="34">
        <f t="shared" si="3"/>
        <v>101.94374999999999</v>
      </c>
    </row>
    <row r="17" spans="1:21" ht="13.5" customHeight="1" x14ac:dyDescent="0.2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149.69999999999999</v>
      </c>
      <c r="F18" s="18">
        <v>99.2</v>
      </c>
      <c r="G18" s="18">
        <v>92.9</v>
      </c>
      <c r="I18" s="18">
        <f t="shared" si="4"/>
        <v>118.42319430315361</v>
      </c>
      <c r="J18" s="42">
        <f>(I18/'Urban 15-16'!I18)-1</f>
        <v>3.1513829282966865E-2</v>
      </c>
      <c r="K18" s="16"/>
      <c r="M18" s="35">
        <f>332+73</f>
        <v>405</v>
      </c>
      <c r="N18" s="35">
        <f>193+138</f>
        <v>331</v>
      </c>
      <c r="O18" s="35">
        <f>146+101</f>
        <v>247</v>
      </c>
      <c r="P18" s="33">
        <f t="shared" si="0"/>
        <v>60628.499999999993</v>
      </c>
      <c r="Q18" s="33">
        <f t="shared" si="0"/>
        <v>32835.200000000004</v>
      </c>
      <c r="R18" s="33">
        <f t="shared" si="0"/>
        <v>22946.300000000003</v>
      </c>
      <c r="S18" s="33">
        <f t="shared" si="1"/>
        <v>983</v>
      </c>
      <c r="T18" s="33">
        <f t="shared" si="2"/>
        <v>116410</v>
      </c>
      <c r="U18" s="34">
        <f t="shared" si="3"/>
        <v>118.42319430315361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145.5</v>
      </c>
      <c r="F19" s="18">
        <v>104</v>
      </c>
      <c r="G19" s="18">
        <v>91.1</v>
      </c>
      <c r="I19" s="18">
        <f t="shared" si="4"/>
        <v>113.06738721804511</v>
      </c>
      <c r="J19" s="42">
        <f>(I19/'Urban 15-16'!I19)-1</f>
        <v>2.4447869747844964E-2</v>
      </c>
      <c r="K19" s="16"/>
      <c r="M19" s="35">
        <f>228+117</f>
        <v>345</v>
      </c>
      <c r="N19" s="35">
        <f>174+183</f>
        <v>357</v>
      </c>
      <c r="O19" s="35">
        <f>185+177</f>
        <v>362</v>
      </c>
      <c r="P19" s="33">
        <f t="shared" si="0"/>
        <v>50197.5</v>
      </c>
      <c r="Q19" s="33">
        <f t="shared" si="0"/>
        <v>37128</v>
      </c>
      <c r="R19" s="33">
        <f t="shared" si="0"/>
        <v>32978.199999999997</v>
      </c>
      <c r="S19" s="33">
        <f t="shared" si="1"/>
        <v>1064</v>
      </c>
      <c r="T19" s="33">
        <f t="shared" si="2"/>
        <v>120303.7</v>
      </c>
      <c r="U19" s="34">
        <f t="shared" si="3"/>
        <v>113.06738721804511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118.6</v>
      </c>
      <c r="F20" s="18">
        <v>86.1</v>
      </c>
      <c r="G20" s="18">
        <v>76.3</v>
      </c>
      <c r="I20" s="18">
        <f t="shared" si="4"/>
        <v>92.207665094339617</v>
      </c>
      <c r="J20" s="42">
        <f>(I20/'Urban 15-16'!I20)-1</f>
        <v>2.4356766222971782E-2</v>
      </c>
      <c r="K20" s="16"/>
      <c r="M20" s="35">
        <f>171+74</f>
        <v>245</v>
      </c>
      <c r="N20" s="35">
        <f>161+158</f>
        <v>319</v>
      </c>
      <c r="O20" s="35">
        <f>122+162</f>
        <v>284</v>
      </c>
      <c r="P20" s="33">
        <f t="shared" si="0"/>
        <v>29057</v>
      </c>
      <c r="Q20" s="33">
        <f t="shared" si="0"/>
        <v>27465.899999999998</v>
      </c>
      <c r="R20" s="33">
        <f t="shared" si="0"/>
        <v>21669.200000000001</v>
      </c>
      <c r="S20" s="33">
        <f t="shared" si="1"/>
        <v>848</v>
      </c>
      <c r="T20" s="33">
        <f t="shared" si="2"/>
        <v>78192.099999999991</v>
      </c>
      <c r="U20" s="34">
        <f t="shared" si="3"/>
        <v>92.207665094339617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140.69999999999999</v>
      </c>
      <c r="F21" s="18">
        <v>108.4</v>
      </c>
      <c r="G21" s="18">
        <v>87.9</v>
      </c>
      <c r="I21" s="18">
        <f t="shared" si="4"/>
        <v>108.40671936758893</v>
      </c>
      <c r="J21" s="42">
        <f>(I21/'Urban 15-16'!I21)-1</f>
        <v>2.5721037712157946E-2</v>
      </c>
      <c r="K21" s="16"/>
      <c r="M21" s="35">
        <f>70+38</f>
        <v>108</v>
      </c>
      <c r="N21" s="35">
        <f>117+111</f>
        <v>228</v>
      </c>
      <c r="O21" s="35">
        <f>77+93</f>
        <v>170</v>
      </c>
      <c r="P21" s="33">
        <f t="shared" si="0"/>
        <v>15195.599999999999</v>
      </c>
      <c r="Q21" s="33">
        <f t="shared" si="0"/>
        <v>24715.200000000001</v>
      </c>
      <c r="R21" s="33">
        <f t="shared" si="0"/>
        <v>14943.000000000002</v>
      </c>
      <c r="S21" s="33">
        <f t="shared" si="1"/>
        <v>506</v>
      </c>
      <c r="T21" s="33">
        <f t="shared" si="2"/>
        <v>54853.8</v>
      </c>
      <c r="U21" s="34">
        <f t="shared" si="3"/>
        <v>108.40671936758893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114</v>
      </c>
      <c r="F22" s="18">
        <v>76.3</v>
      </c>
      <c r="G22" s="18">
        <v>67.8</v>
      </c>
      <c r="I22" s="18">
        <f t="shared" si="4"/>
        <v>84.35955369595537</v>
      </c>
      <c r="J22" s="42">
        <f>(I22/'Urban 15-16'!I22)-1</f>
        <v>1.4071364960011046E-3</v>
      </c>
      <c r="K22" s="16"/>
      <c r="M22" s="35">
        <f>167+44</f>
        <v>211</v>
      </c>
      <c r="N22" s="35">
        <f>125+125</f>
        <v>250</v>
      </c>
      <c r="O22" s="35">
        <f>121+135</f>
        <v>256</v>
      </c>
      <c r="P22" s="33">
        <f t="shared" si="0"/>
        <v>24054</v>
      </c>
      <c r="Q22" s="33">
        <f t="shared" si="0"/>
        <v>19075</v>
      </c>
      <c r="R22" s="33">
        <f t="shared" si="0"/>
        <v>17356.8</v>
      </c>
      <c r="S22" s="33">
        <f t="shared" si="1"/>
        <v>717</v>
      </c>
      <c r="T22" s="33">
        <f t="shared" si="2"/>
        <v>60485.8</v>
      </c>
      <c r="U22" s="34">
        <f t="shared" si="3"/>
        <v>84.35955369595537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108.3</v>
      </c>
      <c r="F23" s="23">
        <v>79.5</v>
      </c>
      <c r="G23" s="23">
        <v>74.5</v>
      </c>
      <c r="H23" s="22"/>
      <c r="I23" s="23">
        <f t="shared" si="4"/>
        <v>86.176999999999992</v>
      </c>
      <c r="J23" s="44">
        <f>(I23/'Urban 15-16'!I23)-1</f>
        <v>1.941558363968765E-2</v>
      </c>
      <c r="K23" s="16"/>
      <c r="M23" s="35">
        <f>100+74</f>
        <v>174</v>
      </c>
      <c r="N23" s="35">
        <f>126+99</f>
        <v>225</v>
      </c>
      <c r="O23" s="35">
        <f>96+105</f>
        <v>201</v>
      </c>
      <c r="P23" s="33">
        <f t="shared" si="0"/>
        <v>18844.2</v>
      </c>
      <c r="Q23" s="33">
        <f t="shared" si="0"/>
        <v>17887.5</v>
      </c>
      <c r="R23" s="33">
        <f t="shared" si="0"/>
        <v>14974.5</v>
      </c>
      <c r="S23" s="33">
        <f t="shared" si="1"/>
        <v>600</v>
      </c>
      <c r="T23" s="33">
        <f t="shared" si="2"/>
        <v>51706.2</v>
      </c>
      <c r="U23" s="34">
        <f t="shared" si="3"/>
        <v>86.176999999999992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100.2</v>
      </c>
      <c r="F24" s="23">
        <v>71.3</v>
      </c>
      <c r="G24" s="23">
        <v>64.400000000000006</v>
      </c>
      <c r="H24" s="22"/>
      <c r="I24" s="23">
        <f t="shared" si="4"/>
        <v>78.317067307692312</v>
      </c>
      <c r="J24" s="44">
        <f>(I24/'Urban 15-16'!I24)-1</f>
        <v>2.4838267106350731E-3</v>
      </c>
      <c r="K24" s="16"/>
      <c r="M24" s="35">
        <f>80+53</f>
        <v>133</v>
      </c>
      <c r="N24" s="35">
        <f>72+77</f>
        <v>149</v>
      </c>
      <c r="O24" s="35">
        <f>45+89</f>
        <v>134</v>
      </c>
      <c r="P24" s="33">
        <f t="shared" si="0"/>
        <v>13326.6</v>
      </c>
      <c r="Q24" s="33">
        <f t="shared" si="0"/>
        <v>10623.699999999999</v>
      </c>
      <c r="R24" s="33">
        <f t="shared" si="0"/>
        <v>8629.6</v>
      </c>
      <c r="S24" s="33">
        <f t="shared" si="1"/>
        <v>416</v>
      </c>
      <c r="T24" s="33">
        <f t="shared" si="2"/>
        <v>32579.9</v>
      </c>
      <c r="U24" s="34">
        <f t="shared" si="3"/>
        <v>78.317067307692312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87.6</v>
      </c>
      <c r="F25" s="18">
        <v>67.5</v>
      </c>
      <c r="G25" s="18">
        <v>70</v>
      </c>
      <c r="I25" s="18">
        <f t="shared" si="4"/>
        <v>76.689423076923077</v>
      </c>
      <c r="J25" s="42">
        <f>(I25/'Urban 15-16'!I25)-1</f>
        <v>2.6376189970052089E-3</v>
      </c>
      <c r="K25" s="16"/>
      <c r="M25" s="35">
        <f>68+21</f>
        <v>89</v>
      </c>
      <c r="N25" s="35">
        <f>44+26</f>
        <v>70</v>
      </c>
      <c r="O25" s="35">
        <f>35+14</f>
        <v>49</v>
      </c>
      <c r="P25" s="33">
        <f t="shared" si="0"/>
        <v>7796.4</v>
      </c>
      <c r="Q25" s="33">
        <f t="shared" si="0"/>
        <v>4725</v>
      </c>
      <c r="R25" s="33">
        <f t="shared" si="0"/>
        <v>3430</v>
      </c>
      <c r="S25" s="33">
        <f t="shared" si="1"/>
        <v>208</v>
      </c>
      <c r="T25" s="33">
        <f t="shared" si="2"/>
        <v>15951.4</v>
      </c>
      <c r="U25" s="34">
        <f t="shared" si="3"/>
        <v>76.689423076923077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149.4</v>
      </c>
      <c r="F26" s="18">
        <v>99.9</v>
      </c>
      <c r="G26" s="18">
        <v>81.5</v>
      </c>
      <c r="I26" s="18">
        <f t="shared" si="4"/>
        <v>108.58311688311689</v>
      </c>
      <c r="J26" s="42">
        <f>(I26/'Urban 15-16'!I26)-1</f>
        <v>1.660937584519484E-2</v>
      </c>
      <c r="K26" s="16"/>
      <c r="M26" s="35">
        <f>344+126</f>
        <v>470</v>
      </c>
      <c r="N26" s="35">
        <f>236+183</f>
        <v>419</v>
      </c>
      <c r="O26" s="35">
        <f>278+296</f>
        <v>574</v>
      </c>
      <c r="P26" s="33">
        <f t="shared" si="0"/>
        <v>70218</v>
      </c>
      <c r="Q26" s="33">
        <f t="shared" si="0"/>
        <v>41858.100000000006</v>
      </c>
      <c r="R26" s="33">
        <f t="shared" si="0"/>
        <v>46781</v>
      </c>
      <c r="S26" s="33">
        <f t="shared" si="1"/>
        <v>1463</v>
      </c>
      <c r="T26" s="33">
        <f t="shared" si="2"/>
        <v>158857.1</v>
      </c>
      <c r="U26" s="34">
        <f t="shared" si="3"/>
        <v>108.58311688311689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110.2</v>
      </c>
      <c r="F27" s="18">
        <v>83.9</v>
      </c>
      <c r="G27" s="18">
        <v>70.3</v>
      </c>
      <c r="I27" s="18">
        <f t="shared" si="4"/>
        <v>86.730033557046994</v>
      </c>
      <c r="J27" s="42">
        <f>(I27/'Urban 15-16'!I27)-1</f>
        <v>-1.2004332006352314E-3</v>
      </c>
      <c r="K27" s="16"/>
      <c r="M27" s="35">
        <f>125+56</f>
        <v>181</v>
      </c>
      <c r="N27" s="35">
        <f>96+93</f>
        <v>189</v>
      </c>
      <c r="O27" s="35">
        <f>107+119</f>
        <v>226</v>
      </c>
      <c r="P27" s="33">
        <f t="shared" si="0"/>
        <v>19946.2</v>
      </c>
      <c r="Q27" s="33">
        <f t="shared" si="0"/>
        <v>15857.1</v>
      </c>
      <c r="R27" s="33">
        <f t="shared" si="0"/>
        <v>15887.8</v>
      </c>
      <c r="S27" s="33">
        <f t="shared" si="1"/>
        <v>596</v>
      </c>
      <c r="T27" s="33">
        <f t="shared" si="2"/>
        <v>51691.100000000006</v>
      </c>
      <c r="U27" s="34">
        <f t="shared" si="3"/>
        <v>86.730033557046994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152.6</v>
      </c>
      <c r="F28" s="18">
        <v>103</v>
      </c>
      <c r="G28" s="18">
        <v>78.599999999999994</v>
      </c>
      <c r="I28" s="18">
        <f t="shared" si="4"/>
        <v>105.96467463479415</v>
      </c>
      <c r="J28" s="42">
        <f>(I28/'Urban 15-16'!I28)-1</f>
        <v>-4.3414041008883464E-3</v>
      </c>
      <c r="K28" s="16"/>
      <c r="M28" s="35">
        <f>290+106</f>
        <v>396</v>
      </c>
      <c r="N28" s="35">
        <f>281+207</f>
        <v>488</v>
      </c>
      <c r="O28" s="35">
        <f>320+302</f>
        <v>622</v>
      </c>
      <c r="P28" s="33">
        <f t="shared" si="0"/>
        <v>60429.599999999999</v>
      </c>
      <c r="Q28" s="33">
        <f t="shared" si="0"/>
        <v>50264</v>
      </c>
      <c r="R28" s="33">
        <f t="shared" si="0"/>
        <v>48889.2</v>
      </c>
      <c r="S28" s="33">
        <f t="shared" si="1"/>
        <v>1506</v>
      </c>
      <c r="T28" s="33">
        <f t="shared" si="2"/>
        <v>159582.79999999999</v>
      </c>
      <c r="U28" s="34">
        <f t="shared" si="3"/>
        <v>105.96467463479415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119.1</v>
      </c>
      <c r="F29" s="18">
        <v>95.8</v>
      </c>
      <c r="G29" s="18">
        <v>83.2</v>
      </c>
      <c r="I29" s="18">
        <f t="shared" si="4"/>
        <v>100.8159420289855</v>
      </c>
      <c r="J29" s="42">
        <f>(I29/'Urban 15-16'!I29)-1</f>
        <v>1.9682933875915243E-2</v>
      </c>
      <c r="K29" s="16"/>
      <c r="M29" s="35">
        <f>138+56</f>
        <v>194</v>
      </c>
      <c r="N29" s="35">
        <f>136+83</f>
        <v>219</v>
      </c>
      <c r="O29" s="35">
        <f>80+59</f>
        <v>139</v>
      </c>
      <c r="P29" s="33">
        <f t="shared" si="0"/>
        <v>23105.399999999998</v>
      </c>
      <c r="Q29" s="33">
        <f t="shared" si="0"/>
        <v>20980.2</v>
      </c>
      <c r="R29" s="33">
        <f t="shared" si="0"/>
        <v>11564.800000000001</v>
      </c>
      <c r="S29" s="33">
        <f t="shared" si="1"/>
        <v>552</v>
      </c>
      <c r="T29" s="33">
        <f t="shared" si="2"/>
        <v>55650.400000000001</v>
      </c>
      <c r="U29" s="34">
        <f t="shared" si="3"/>
        <v>100.8159420289855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125.1</v>
      </c>
      <c r="F30" s="18">
        <v>87.3</v>
      </c>
      <c r="G30" s="18">
        <v>70</v>
      </c>
      <c r="I30" s="18">
        <f t="shared" si="4"/>
        <v>86.968610301263354</v>
      </c>
      <c r="J30" s="42">
        <f>(I30/'Urban 15-16'!I30)-1</f>
        <v>-3.2096582780668514E-3</v>
      </c>
      <c r="K30" s="16"/>
      <c r="M30" s="35">
        <f>146+61</f>
        <v>207</v>
      </c>
      <c r="N30" s="35">
        <f>180+170</f>
        <v>350</v>
      </c>
      <c r="O30" s="35">
        <f>222+250</f>
        <v>472</v>
      </c>
      <c r="P30" s="33">
        <f t="shared" si="0"/>
        <v>25895.699999999997</v>
      </c>
      <c r="Q30" s="33">
        <f t="shared" si="0"/>
        <v>30555</v>
      </c>
      <c r="R30" s="33">
        <f t="shared" si="0"/>
        <v>33040</v>
      </c>
      <c r="S30" s="33">
        <f t="shared" si="1"/>
        <v>1029</v>
      </c>
      <c r="T30" s="33">
        <f t="shared" si="2"/>
        <v>89490.7</v>
      </c>
      <c r="U30" s="34">
        <f t="shared" si="3"/>
        <v>86.968610301263354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128.9</v>
      </c>
      <c r="F31" s="18">
        <v>96.3</v>
      </c>
      <c r="G31" s="18">
        <v>81.900000000000006</v>
      </c>
      <c r="I31" s="18">
        <f t="shared" si="4"/>
        <v>102.56641791044775</v>
      </c>
      <c r="J31" s="42">
        <f>(I31/'Urban 15-16'!I31)-1</f>
        <v>2.6270668730442814E-2</v>
      </c>
      <c r="K31" s="16"/>
      <c r="M31" s="35">
        <f>198+63</f>
        <v>261</v>
      </c>
      <c r="N31" s="35">
        <f>173+129</f>
        <v>302</v>
      </c>
      <c r="O31" s="35">
        <f>99+142</f>
        <v>241</v>
      </c>
      <c r="P31" s="33">
        <f t="shared" si="0"/>
        <v>33642.9</v>
      </c>
      <c r="Q31" s="33">
        <f t="shared" si="0"/>
        <v>29082.6</v>
      </c>
      <c r="R31" s="33">
        <f t="shared" si="0"/>
        <v>19737.900000000001</v>
      </c>
      <c r="S31" s="33">
        <f t="shared" si="1"/>
        <v>804</v>
      </c>
      <c r="T31" s="33">
        <f t="shared" si="2"/>
        <v>82463.399999999994</v>
      </c>
      <c r="U31" s="34">
        <f t="shared" si="3"/>
        <v>102.56641791044775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104</v>
      </c>
      <c r="F32" s="18">
        <v>78.099999999999994</v>
      </c>
      <c r="G32" s="18">
        <v>73.900000000000006</v>
      </c>
      <c r="I32" s="18">
        <f t="shared" si="4"/>
        <v>84.544827586206907</v>
      </c>
      <c r="J32" s="42">
        <f>(I32/'Urban 15-16'!I32)-1</f>
        <v>1.0904113850660702E-2</v>
      </c>
      <c r="K32" s="16"/>
      <c r="M32" s="35">
        <f>162+63</f>
        <v>225</v>
      </c>
      <c r="N32" s="35">
        <f>201+171</f>
        <v>372</v>
      </c>
      <c r="O32" s="35">
        <f>77+109</f>
        <v>186</v>
      </c>
      <c r="P32" s="33">
        <f t="shared" si="0"/>
        <v>23400</v>
      </c>
      <c r="Q32" s="33">
        <f t="shared" si="0"/>
        <v>29053.199999999997</v>
      </c>
      <c r="R32" s="33">
        <f t="shared" si="0"/>
        <v>13745.400000000001</v>
      </c>
      <c r="S32" s="33">
        <f t="shared" si="1"/>
        <v>783</v>
      </c>
      <c r="T32" s="33">
        <f t="shared" si="2"/>
        <v>66198.600000000006</v>
      </c>
      <c r="U32" s="34">
        <f t="shared" si="3"/>
        <v>84.544827586206907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128.89058629232039</v>
      </c>
      <c r="F34" s="38">
        <f>Q34/N34</f>
        <v>91.267686459087628</v>
      </c>
      <c r="G34" s="38">
        <f t="shared" ref="G34" si="5">R34/O34</f>
        <v>78.577896312932808</v>
      </c>
      <c r="H34" s="36"/>
      <c r="I34" s="38">
        <f t="shared" ref="I34" si="6">U34</f>
        <v>98.551995417223608</v>
      </c>
      <c r="J34" s="43">
        <f>(I34/'Urban 15-16'!I34)-1</f>
        <v>1.6465769785554807E-2</v>
      </c>
      <c r="K34" s="16"/>
      <c r="M34" s="37">
        <f t="shared" ref="M34:R34" si="7">SUM(M12:M32)</f>
        <v>4844</v>
      </c>
      <c r="N34" s="37">
        <f t="shared" si="7"/>
        <v>5524</v>
      </c>
      <c r="O34" s="37">
        <f t="shared" si="7"/>
        <v>5343</v>
      </c>
      <c r="P34" s="37">
        <f t="shared" si="7"/>
        <v>624346</v>
      </c>
      <c r="Q34" s="37">
        <f t="shared" si="7"/>
        <v>504162.70000000007</v>
      </c>
      <c r="R34" s="37">
        <f t="shared" si="7"/>
        <v>419841.7</v>
      </c>
      <c r="S34" s="33">
        <f>M34+N34+O34</f>
        <v>15711</v>
      </c>
      <c r="T34" s="33">
        <f>P34+Q34+R34</f>
        <v>1548350.4000000001</v>
      </c>
      <c r="U34" s="34">
        <f>T34/S34</f>
        <v>98.551995417223608</v>
      </c>
    </row>
    <row r="35" spans="1:21" ht="13.5" customHeight="1" x14ac:dyDescent="0.2">
      <c r="A35" s="17"/>
      <c r="D35" s="41" t="s">
        <v>44</v>
      </c>
      <c r="E35" s="38">
        <f>MEDIAN(E12:E32)</f>
        <v>121.65</v>
      </c>
      <c r="F35" s="38">
        <f>MEDIAN(F12:F32)</f>
        <v>90.5</v>
      </c>
      <c r="G35" s="38">
        <f>MEDIAN(G12:G32)</f>
        <v>77.449999999999989</v>
      </c>
      <c r="H35" s="36"/>
      <c r="I35" s="38">
        <f>MEDIAN(I12:I32)</f>
        <v>96.608028913582913</v>
      </c>
      <c r="J35" s="43">
        <f>(I35/'Urban 15-16'!I35)-1</f>
        <v>2.6226626091552241E-2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62</v>
      </c>
      <c r="K38" s="16"/>
    </row>
    <row r="39" spans="1:21" ht="13.5" customHeight="1" x14ac:dyDescent="0.2">
      <c r="A39" s="17"/>
      <c r="B39" s="14"/>
      <c r="K39" s="16"/>
    </row>
    <row r="40" spans="1:21" ht="13.5" customHeight="1" x14ac:dyDescent="0.2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68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3"/>
  <sheetViews>
    <sheetView topLeftCell="A16" workbookViewId="0"/>
  </sheetViews>
  <sheetFormatPr defaultColWidth="9.140625" defaultRowHeight="13.5" customHeight="1" x14ac:dyDescent="0.2"/>
  <cols>
    <col min="1" max="2" width="2.7109375" style="1" customWidth="1"/>
    <col min="3" max="3" width="2.7109375" style="29" hidden="1" customWidth="1"/>
    <col min="4" max="4" width="37.7109375" style="1" customWidth="1"/>
    <col min="5" max="7" width="7.7109375" style="1" customWidth="1"/>
    <col min="8" max="8" width="2.7109375" style="1" customWidth="1"/>
    <col min="9" max="9" width="6.7109375" style="1" customWidth="1"/>
    <col min="10" max="10" width="7.7109375" style="1" customWidth="1"/>
    <col min="11" max="11" width="2.7109375" style="1" customWidth="1"/>
    <col min="12" max="16384" width="9.140625" style="1"/>
  </cols>
  <sheetData>
    <row r="1" spans="1:21" s="2" customFormat="1" ht="13.5" customHeight="1" x14ac:dyDescent="0.2">
      <c r="C1" s="24"/>
    </row>
    <row r="2" spans="1:21" s="2" customFormat="1" ht="15" customHeight="1" x14ac:dyDescent="0.25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2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25">
      <c r="A4" s="3"/>
      <c r="B4" s="6" t="s">
        <v>65</v>
      </c>
      <c r="C4" s="26"/>
      <c r="D4" s="7"/>
      <c r="K4" s="5"/>
    </row>
    <row r="5" spans="1:21" s="2" customFormat="1" ht="15" customHeight="1" x14ac:dyDescent="0.25">
      <c r="A5" s="3"/>
      <c r="B5" s="6" t="s">
        <v>59</v>
      </c>
      <c r="C5" s="26"/>
      <c r="D5" s="7"/>
      <c r="K5" s="5"/>
    </row>
    <row r="6" spans="1:21" s="2" customFormat="1" ht="15" customHeight="1" x14ac:dyDescent="0.25">
      <c r="A6" s="3"/>
      <c r="B6" s="6" t="s">
        <v>60</v>
      </c>
      <c r="C6" s="26"/>
      <c r="D6" s="7"/>
      <c r="K6" s="5"/>
    </row>
    <row r="7" spans="1:21" ht="13.5" customHeight="1" thickBot="1" x14ac:dyDescent="0.2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2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2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2">
      <c r="A10" s="17"/>
      <c r="K10" s="16"/>
    </row>
    <row r="11" spans="1:21" ht="13.5" customHeight="1" x14ac:dyDescent="0.2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2">
      <c r="A12" s="17"/>
      <c r="C12" s="29">
        <v>1</v>
      </c>
      <c r="D12" s="1" t="s">
        <v>23</v>
      </c>
      <c r="E12" s="18">
        <v>132.4</v>
      </c>
      <c r="F12" s="18">
        <v>89.7</v>
      </c>
      <c r="G12" s="18">
        <v>76.7</v>
      </c>
      <c r="I12" s="18">
        <f>U12</f>
        <v>97.581067961165061</v>
      </c>
      <c r="J12" s="42">
        <f>(I12/'Urban 14-15'!I12)-1</f>
        <v>2.3925240975553486E-2</v>
      </c>
      <c r="K12" s="16"/>
      <c r="M12" s="35">
        <f>127+58</f>
        <v>185</v>
      </c>
      <c r="N12" s="35">
        <f>105+95</f>
        <v>200</v>
      </c>
      <c r="O12" s="35">
        <f>109+124</f>
        <v>233</v>
      </c>
      <c r="P12" s="33">
        <f t="shared" ref="P12:R32" si="0">E12*M12</f>
        <v>24494</v>
      </c>
      <c r="Q12" s="33">
        <f t="shared" si="0"/>
        <v>17940</v>
      </c>
      <c r="R12" s="33">
        <f t="shared" si="0"/>
        <v>17871.100000000002</v>
      </c>
      <c r="S12" s="33">
        <f t="shared" ref="S12:S32" si="1">M12+N12+O12</f>
        <v>618</v>
      </c>
      <c r="T12" s="33">
        <f t="shared" ref="T12:T32" si="2">P12+Q12+R12</f>
        <v>60305.100000000006</v>
      </c>
      <c r="U12" s="34">
        <f>T12/S12</f>
        <v>97.581067961165061</v>
      </c>
    </row>
    <row r="13" spans="1:21" ht="13.5" customHeight="1" x14ac:dyDescent="0.2">
      <c r="A13" s="17"/>
      <c r="C13" s="29">
        <v>2</v>
      </c>
      <c r="D13" s="1" t="s">
        <v>24</v>
      </c>
      <c r="E13" s="18">
        <v>119.1</v>
      </c>
      <c r="F13" s="18">
        <v>81.900000000000006</v>
      </c>
      <c r="G13" s="18">
        <v>72</v>
      </c>
      <c r="I13" s="18">
        <f t="shared" ref="I13:I32" si="3">U13</f>
        <v>90.697089041095893</v>
      </c>
      <c r="J13" s="42">
        <f>(I13/'Urban 14-15'!I13)-1</f>
        <v>1.8228026157181887E-2</v>
      </c>
      <c r="K13" s="16"/>
      <c r="M13" s="35">
        <f>268+112</f>
        <v>380</v>
      </c>
      <c r="N13" s="35">
        <f>203+195</f>
        <v>398</v>
      </c>
      <c r="O13" s="35">
        <f>187+203</f>
        <v>390</v>
      </c>
      <c r="P13" s="33">
        <f t="shared" si="0"/>
        <v>45258</v>
      </c>
      <c r="Q13" s="33">
        <f t="shared" si="0"/>
        <v>32596.2</v>
      </c>
      <c r="R13" s="33">
        <f t="shared" si="0"/>
        <v>28080</v>
      </c>
      <c r="S13" s="33">
        <f t="shared" si="1"/>
        <v>1168</v>
      </c>
      <c r="T13" s="33">
        <f t="shared" si="2"/>
        <v>105934.2</v>
      </c>
      <c r="U13" s="34">
        <f t="shared" ref="U13:U32" si="4">T13/S13</f>
        <v>90.697089041095893</v>
      </c>
    </row>
    <row r="14" spans="1:21" ht="13.5" customHeight="1" x14ac:dyDescent="0.2">
      <c r="A14" s="17"/>
      <c r="C14" s="29">
        <v>3</v>
      </c>
      <c r="D14" s="1" t="s">
        <v>25</v>
      </c>
      <c r="E14" s="18">
        <v>105.4</v>
      </c>
      <c r="F14" s="18">
        <v>78.7</v>
      </c>
      <c r="G14" s="18">
        <v>73.599999999999994</v>
      </c>
      <c r="I14" s="18">
        <f t="shared" si="3"/>
        <v>85.207692307692298</v>
      </c>
      <c r="J14" s="42">
        <f>(I14/'Urban 14-15'!I14)-1</f>
        <v>3.5885023933241778E-2</v>
      </c>
      <c r="K14" s="16"/>
      <c r="M14" s="35">
        <f>86+39</f>
        <v>125</v>
      </c>
      <c r="N14" s="35">
        <f>118+79</f>
        <v>197</v>
      </c>
      <c r="O14" s="35">
        <f>51+56</f>
        <v>107</v>
      </c>
      <c r="P14" s="33">
        <f t="shared" si="0"/>
        <v>13175</v>
      </c>
      <c r="Q14" s="33">
        <f t="shared" si="0"/>
        <v>15503.900000000001</v>
      </c>
      <c r="R14" s="33">
        <f t="shared" si="0"/>
        <v>7875.2</v>
      </c>
      <c r="S14" s="33">
        <f t="shared" si="1"/>
        <v>429</v>
      </c>
      <c r="T14" s="33">
        <f t="shared" si="2"/>
        <v>36554.1</v>
      </c>
      <c r="U14" s="34">
        <f t="shared" si="4"/>
        <v>85.207692307692298</v>
      </c>
    </row>
    <row r="15" spans="1:21" ht="13.5" customHeight="1" x14ac:dyDescent="0.2">
      <c r="A15" s="17"/>
      <c r="C15" s="29">
        <v>4</v>
      </c>
      <c r="D15" s="1" t="s">
        <v>42</v>
      </c>
      <c r="E15" s="18">
        <v>121.6</v>
      </c>
      <c r="F15" s="18">
        <v>93.4</v>
      </c>
      <c r="G15" s="18">
        <v>78.900000000000006</v>
      </c>
      <c r="I15" s="18">
        <f t="shared" si="3"/>
        <v>102.02797833935018</v>
      </c>
      <c r="J15" s="42">
        <f>(I15/'Urban 14-15'!I15)-1</f>
        <v>0.22857775216009135</v>
      </c>
      <c r="K15" s="16"/>
      <c r="M15" s="35">
        <f>172+70</f>
        <v>242</v>
      </c>
      <c r="N15" s="35">
        <f>96+75</f>
        <v>171</v>
      </c>
      <c r="O15" s="35">
        <f>72+69</f>
        <v>141</v>
      </c>
      <c r="P15" s="33">
        <f t="shared" si="0"/>
        <v>29427.199999999997</v>
      </c>
      <c r="Q15" s="33">
        <f t="shared" si="0"/>
        <v>15971.400000000001</v>
      </c>
      <c r="R15" s="33">
        <f t="shared" si="0"/>
        <v>11124.900000000001</v>
      </c>
      <c r="S15" s="33">
        <f t="shared" si="1"/>
        <v>554</v>
      </c>
      <c r="T15" s="33">
        <f t="shared" si="2"/>
        <v>56523.5</v>
      </c>
      <c r="U15" s="34">
        <f t="shared" si="4"/>
        <v>102.02797833935018</v>
      </c>
    </row>
    <row r="16" spans="1:21" ht="13.5" customHeight="1" x14ac:dyDescent="0.2">
      <c r="A16" s="17"/>
      <c r="C16" s="29">
        <v>5</v>
      </c>
      <c r="D16" s="1" t="s">
        <v>26</v>
      </c>
      <c r="E16" s="18">
        <v>125.8</v>
      </c>
      <c r="F16" s="18">
        <v>93.7</v>
      </c>
      <c r="G16" s="18">
        <v>83.9</v>
      </c>
      <c r="I16" s="18">
        <f t="shared" si="3"/>
        <v>100.04089805825242</v>
      </c>
      <c r="J16" s="42">
        <f>(I16/'Urban 14-15'!I16)-1</f>
        <v>3.7402527832623766E-2</v>
      </c>
      <c r="K16" s="16"/>
      <c r="M16" s="35">
        <f>195+56</f>
        <v>251</v>
      </c>
      <c r="N16" s="35">
        <f>169+115</f>
        <v>284</v>
      </c>
      <c r="O16" s="35">
        <f>147+142</f>
        <v>289</v>
      </c>
      <c r="P16" s="33">
        <f t="shared" si="0"/>
        <v>31575.8</v>
      </c>
      <c r="Q16" s="33">
        <f t="shared" si="0"/>
        <v>26610.799999999999</v>
      </c>
      <c r="R16" s="33">
        <f t="shared" si="0"/>
        <v>24247.100000000002</v>
      </c>
      <c r="S16" s="33">
        <f t="shared" si="1"/>
        <v>824</v>
      </c>
      <c r="T16" s="33">
        <f t="shared" si="2"/>
        <v>82433.7</v>
      </c>
      <c r="U16" s="34">
        <f t="shared" si="4"/>
        <v>100.04089805825242</v>
      </c>
    </row>
    <row r="17" spans="1:21" ht="13.5" customHeight="1" x14ac:dyDescent="0.2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2">
      <c r="A18" s="17"/>
      <c r="C18" s="29">
        <v>7</v>
      </c>
      <c r="D18" s="1" t="s">
        <v>28</v>
      </c>
      <c r="E18" s="18">
        <v>144.19999999999999</v>
      </c>
      <c r="F18" s="18">
        <v>96.5</v>
      </c>
      <c r="G18" s="18">
        <v>91.1</v>
      </c>
      <c r="I18" s="18">
        <f t="shared" si="3"/>
        <v>114.80524152106887</v>
      </c>
      <c r="J18" s="42">
        <f>(I18/'Urban 14-15'!I18)-1</f>
        <v>2.5354870770035509E-2</v>
      </c>
      <c r="K18" s="16"/>
      <c r="M18" s="35">
        <f>324+76</f>
        <v>400</v>
      </c>
      <c r="N18" s="35">
        <f>213+125</f>
        <v>338</v>
      </c>
      <c r="O18" s="35">
        <f>134+101</f>
        <v>235</v>
      </c>
      <c r="P18" s="33">
        <f t="shared" si="0"/>
        <v>57679.999999999993</v>
      </c>
      <c r="Q18" s="33">
        <f t="shared" si="0"/>
        <v>32617</v>
      </c>
      <c r="R18" s="33">
        <f t="shared" si="0"/>
        <v>21408.5</v>
      </c>
      <c r="S18" s="33">
        <f t="shared" si="1"/>
        <v>973</v>
      </c>
      <c r="T18" s="33">
        <f t="shared" si="2"/>
        <v>111705.5</v>
      </c>
      <c r="U18" s="34">
        <f t="shared" si="4"/>
        <v>114.80524152106887</v>
      </c>
    </row>
    <row r="19" spans="1:21" ht="13.5" customHeight="1" x14ac:dyDescent="0.2">
      <c r="A19" s="17"/>
      <c r="C19" s="29">
        <v>8</v>
      </c>
      <c r="D19" s="1" t="s">
        <v>29</v>
      </c>
      <c r="E19" s="18">
        <v>141.80000000000001</v>
      </c>
      <c r="F19" s="18">
        <v>101.3</v>
      </c>
      <c r="G19" s="18">
        <v>87.8</v>
      </c>
      <c r="I19" s="18">
        <f t="shared" si="3"/>
        <v>110.36909788867563</v>
      </c>
      <c r="J19" s="42">
        <f>(I19/'Urban 14-15'!I19)-1</f>
        <v>-1.6142477378722209E-3</v>
      </c>
      <c r="K19" s="16"/>
      <c r="M19" s="35">
        <f>234+111</f>
        <v>345</v>
      </c>
      <c r="N19" s="35">
        <f>176+186</f>
        <v>362</v>
      </c>
      <c r="O19" s="35">
        <f>167+168</f>
        <v>335</v>
      </c>
      <c r="P19" s="33">
        <f t="shared" si="0"/>
        <v>48921.000000000007</v>
      </c>
      <c r="Q19" s="33">
        <f t="shared" si="0"/>
        <v>36670.6</v>
      </c>
      <c r="R19" s="33">
        <f t="shared" si="0"/>
        <v>29413</v>
      </c>
      <c r="S19" s="33">
        <f t="shared" si="1"/>
        <v>1042</v>
      </c>
      <c r="T19" s="33">
        <f t="shared" si="2"/>
        <v>115004.6</v>
      </c>
      <c r="U19" s="34">
        <f t="shared" si="4"/>
        <v>110.36909788867563</v>
      </c>
    </row>
    <row r="20" spans="1:21" ht="13.5" customHeight="1" x14ac:dyDescent="0.2">
      <c r="A20" s="17"/>
      <c r="C20" s="29">
        <v>9</v>
      </c>
      <c r="D20" s="1" t="s">
        <v>30</v>
      </c>
      <c r="E20" s="18">
        <v>116.6</v>
      </c>
      <c r="F20" s="18">
        <v>84.4</v>
      </c>
      <c r="G20" s="18">
        <v>73.400000000000006</v>
      </c>
      <c r="I20" s="18">
        <f t="shared" ref="I20" si="5">U20</f>
        <v>90.015186246418338</v>
      </c>
      <c r="J20" s="42"/>
      <c r="K20" s="16"/>
      <c r="M20" s="35">
        <f>147+55</f>
        <v>202</v>
      </c>
      <c r="N20" s="35">
        <f>136+125</f>
        <v>261</v>
      </c>
      <c r="O20" s="35">
        <f>124+111</f>
        <v>235</v>
      </c>
      <c r="P20" s="33">
        <f t="shared" si="0"/>
        <v>23553.199999999997</v>
      </c>
      <c r="Q20" s="33">
        <f t="shared" si="0"/>
        <v>22028.400000000001</v>
      </c>
      <c r="R20" s="33">
        <f t="shared" si="0"/>
        <v>17249</v>
      </c>
      <c r="S20" s="33">
        <f t="shared" si="1"/>
        <v>698</v>
      </c>
      <c r="T20" s="33">
        <f t="shared" si="2"/>
        <v>62830.6</v>
      </c>
      <c r="U20" s="34">
        <f t="shared" si="4"/>
        <v>90.015186246418338</v>
      </c>
    </row>
    <row r="21" spans="1:21" ht="13.5" customHeight="1" x14ac:dyDescent="0.2">
      <c r="A21" s="17"/>
      <c r="C21" s="29">
        <v>10</v>
      </c>
      <c r="D21" s="1" t="s">
        <v>31</v>
      </c>
      <c r="E21" s="18">
        <v>136.19999999999999</v>
      </c>
      <c r="F21" s="18">
        <v>104.7</v>
      </c>
      <c r="G21" s="18">
        <v>86.4</v>
      </c>
      <c r="I21" s="18">
        <f t="shared" si="3"/>
        <v>105.6883064516129</v>
      </c>
      <c r="J21" s="42">
        <f>(I21/'Urban 14-15'!I21)-1</f>
        <v>5.3462028033340214E-2</v>
      </c>
      <c r="K21" s="16"/>
      <c r="M21" s="35">
        <f>66+46</f>
        <v>112</v>
      </c>
      <c r="N21" s="35">
        <f>118+100</f>
        <v>218</v>
      </c>
      <c r="O21" s="35">
        <f>70+96</f>
        <v>166</v>
      </c>
      <c r="P21" s="33">
        <f t="shared" si="0"/>
        <v>15254.399999999998</v>
      </c>
      <c r="Q21" s="33">
        <f t="shared" si="0"/>
        <v>22824.600000000002</v>
      </c>
      <c r="R21" s="33">
        <f t="shared" si="0"/>
        <v>14342.400000000001</v>
      </c>
      <c r="S21" s="33">
        <f t="shared" si="1"/>
        <v>496</v>
      </c>
      <c r="T21" s="33">
        <f t="shared" si="2"/>
        <v>52421.4</v>
      </c>
      <c r="U21" s="34">
        <f t="shared" si="4"/>
        <v>105.6883064516129</v>
      </c>
    </row>
    <row r="22" spans="1:21" ht="13.5" customHeight="1" x14ac:dyDescent="0.2">
      <c r="A22" s="17"/>
      <c r="C22" s="29">
        <v>11</v>
      </c>
      <c r="D22" s="1" t="s">
        <v>32</v>
      </c>
      <c r="E22" s="18">
        <v>112.8</v>
      </c>
      <c r="F22" s="18">
        <v>76.099999999999994</v>
      </c>
      <c r="G22" s="18">
        <v>67.099999999999994</v>
      </c>
      <c r="I22" s="18">
        <f t="shared" si="3"/>
        <v>84.241015089163227</v>
      </c>
      <c r="J22" s="42">
        <f>(I22/'Urban 14-15'!I22)-1</f>
        <v>1.5748720885236711E-2</v>
      </c>
      <c r="K22" s="16"/>
      <c r="M22" s="35">
        <f>186+38</f>
        <v>224</v>
      </c>
      <c r="N22" s="35">
        <f>130+121</f>
        <v>251</v>
      </c>
      <c r="O22" s="35">
        <f>122+132</f>
        <v>254</v>
      </c>
      <c r="P22" s="33">
        <f t="shared" si="0"/>
        <v>25267.200000000001</v>
      </c>
      <c r="Q22" s="33">
        <f t="shared" si="0"/>
        <v>19101.099999999999</v>
      </c>
      <c r="R22" s="33">
        <f t="shared" si="0"/>
        <v>17043.399999999998</v>
      </c>
      <c r="S22" s="33">
        <f t="shared" si="1"/>
        <v>729</v>
      </c>
      <c r="T22" s="33">
        <f t="shared" si="2"/>
        <v>61411.7</v>
      </c>
      <c r="U22" s="34">
        <f t="shared" si="4"/>
        <v>84.241015089163227</v>
      </c>
    </row>
    <row r="23" spans="1:21" ht="13.5" customHeight="1" x14ac:dyDescent="0.2">
      <c r="A23" s="17"/>
      <c r="C23" s="29">
        <v>12</v>
      </c>
      <c r="D23" s="22" t="s">
        <v>33</v>
      </c>
      <c r="E23" s="23">
        <v>109.8</v>
      </c>
      <c r="F23" s="23">
        <v>78</v>
      </c>
      <c r="G23" s="23">
        <v>69.2</v>
      </c>
      <c r="H23" s="22"/>
      <c r="I23" s="23">
        <f t="shared" si="3"/>
        <v>84.535690235690225</v>
      </c>
      <c r="J23" s="44">
        <f>(I23/'Urban 14-15'!I23)-1</f>
        <v>8.5264292331546088E-3</v>
      </c>
      <c r="K23" s="16"/>
      <c r="M23" s="35">
        <f>107+66</f>
        <v>173</v>
      </c>
      <c r="N23" s="35">
        <f>133+104</f>
        <v>237</v>
      </c>
      <c r="O23" s="35">
        <f>91+93</f>
        <v>184</v>
      </c>
      <c r="P23" s="33">
        <f t="shared" si="0"/>
        <v>18995.399999999998</v>
      </c>
      <c r="Q23" s="33">
        <f t="shared" si="0"/>
        <v>18486</v>
      </c>
      <c r="R23" s="33">
        <f t="shared" si="0"/>
        <v>12732.800000000001</v>
      </c>
      <c r="S23" s="33">
        <f t="shared" si="1"/>
        <v>594</v>
      </c>
      <c r="T23" s="33">
        <f t="shared" si="2"/>
        <v>50214.2</v>
      </c>
      <c r="U23" s="34">
        <f t="shared" si="4"/>
        <v>84.535690235690225</v>
      </c>
    </row>
    <row r="24" spans="1:21" ht="13.5" customHeight="1" x14ac:dyDescent="0.2">
      <c r="A24" s="17"/>
      <c r="C24" s="29">
        <v>13</v>
      </c>
      <c r="D24" s="22" t="s">
        <v>34</v>
      </c>
      <c r="E24" s="23">
        <v>99.1</v>
      </c>
      <c r="F24" s="23">
        <v>72.400000000000006</v>
      </c>
      <c r="G24" s="23">
        <v>62.9</v>
      </c>
      <c r="H24" s="22"/>
      <c r="I24" s="23">
        <f t="shared" si="3"/>
        <v>78.123023255813962</v>
      </c>
      <c r="J24" s="44">
        <f>(I24/'Urban 14-15'!I24)-1</f>
        <v>4.4361820781111394E-3</v>
      </c>
      <c r="K24" s="16"/>
      <c r="M24" s="35">
        <f>87+50</f>
        <v>137</v>
      </c>
      <c r="N24" s="35">
        <f>76+91</f>
        <v>167</v>
      </c>
      <c r="O24" s="35">
        <f>47+79</f>
        <v>126</v>
      </c>
      <c r="P24" s="33">
        <f t="shared" si="0"/>
        <v>13576.699999999999</v>
      </c>
      <c r="Q24" s="33">
        <f t="shared" si="0"/>
        <v>12090.800000000001</v>
      </c>
      <c r="R24" s="33">
        <f t="shared" si="0"/>
        <v>7925.4</v>
      </c>
      <c r="S24" s="33">
        <f t="shared" si="1"/>
        <v>430</v>
      </c>
      <c r="T24" s="33">
        <f t="shared" si="2"/>
        <v>33592.9</v>
      </c>
      <c r="U24" s="34">
        <f t="shared" si="4"/>
        <v>78.123023255813962</v>
      </c>
    </row>
    <row r="25" spans="1:21" ht="13.5" customHeight="1" x14ac:dyDescent="0.2">
      <c r="A25" s="17"/>
      <c r="C25" s="29">
        <v>14</v>
      </c>
      <c r="D25" s="1" t="s">
        <v>35</v>
      </c>
      <c r="E25" s="18">
        <v>87</v>
      </c>
      <c r="F25" s="18">
        <v>67.3</v>
      </c>
      <c r="G25" s="18">
        <v>70.900000000000006</v>
      </c>
      <c r="I25" s="18">
        <f t="shared" si="3"/>
        <v>76.487677725118488</v>
      </c>
      <c r="J25" s="42">
        <f>(I25/'Urban 14-15'!I25)-1</f>
        <v>1.6822211719574431E-2</v>
      </c>
      <c r="K25" s="16"/>
      <c r="M25" s="35">
        <f>70+20</f>
        <v>90</v>
      </c>
      <c r="N25" s="35">
        <f>47+28</f>
        <v>75</v>
      </c>
      <c r="O25" s="35">
        <f>27+19</f>
        <v>46</v>
      </c>
      <c r="P25" s="33">
        <f t="shared" si="0"/>
        <v>7830</v>
      </c>
      <c r="Q25" s="33">
        <f t="shared" si="0"/>
        <v>5047.5</v>
      </c>
      <c r="R25" s="33">
        <f t="shared" si="0"/>
        <v>3261.4</v>
      </c>
      <c r="S25" s="33">
        <f t="shared" si="1"/>
        <v>211</v>
      </c>
      <c r="T25" s="33">
        <f t="shared" si="2"/>
        <v>16138.9</v>
      </c>
      <c r="U25" s="34">
        <f t="shared" si="4"/>
        <v>76.487677725118488</v>
      </c>
    </row>
    <row r="26" spans="1:21" ht="13.5" customHeight="1" x14ac:dyDescent="0.2">
      <c r="A26" s="17"/>
      <c r="C26" s="29">
        <v>15</v>
      </c>
      <c r="D26" s="1" t="s">
        <v>7</v>
      </c>
      <c r="E26" s="18">
        <v>146.30000000000001</v>
      </c>
      <c r="F26" s="18">
        <v>98.2</v>
      </c>
      <c r="G26" s="18">
        <v>80.2</v>
      </c>
      <c r="I26" s="18">
        <f t="shared" ref="I26" si="6">U26</f>
        <v>106.80908465244322</v>
      </c>
      <c r="J26" s="42">
        <f>(I26/'Urban 14-15'!I26)-1</f>
        <v>5.4182172013184093E-4</v>
      </c>
      <c r="K26" s="16"/>
      <c r="M26" s="35">
        <f>349+121</f>
        <v>470</v>
      </c>
      <c r="N26" s="35">
        <f>240+182</f>
        <v>422</v>
      </c>
      <c r="O26" s="35">
        <f>271+290</f>
        <v>561</v>
      </c>
      <c r="P26" s="33">
        <f t="shared" si="0"/>
        <v>68761</v>
      </c>
      <c r="Q26" s="33">
        <f t="shared" si="0"/>
        <v>41440.400000000001</v>
      </c>
      <c r="R26" s="33">
        <f t="shared" si="0"/>
        <v>44992.200000000004</v>
      </c>
      <c r="S26" s="33">
        <f t="shared" si="1"/>
        <v>1453</v>
      </c>
      <c r="T26" s="33">
        <f t="shared" si="2"/>
        <v>155193.60000000001</v>
      </c>
      <c r="U26" s="34">
        <f t="shared" si="4"/>
        <v>106.80908465244322</v>
      </c>
    </row>
    <row r="27" spans="1:21" ht="13.5" customHeight="1" x14ac:dyDescent="0.2">
      <c r="A27" s="17"/>
      <c r="C27" s="29">
        <v>16</v>
      </c>
      <c r="D27" s="1" t="s">
        <v>36</v>
      </c>
      <c r="E27" s="18">
        <v>106.7</v>
      </c>
      <c r="F27" s="18">
        <v>81.599999999999994</v>
      </c>
      <c r="G27" s="18">
        <v>69.2</v>
      </c>
      <c r="I27" s="18">
        <f t="shared" si="3"/>
        <v>86.834272300469479</v>
      </c>
      <c r="J27" s="42">
        <f>(I27/'Urban 14-15'!I27)-1</f>
        <v>3.4964159237045545E-2</v>
      </c>
      <c r="K27" s="16"/>
      <c r="M27" s="35">
        <f>165+72</f>
        <v>237</v>
      </c>
      <c r="N27" s="35">
        <f>107+85</f>
        <v>192</v>
      </c>
      <c r="O27" s="35">
        <f>99+111</f>
        <v>210</v>
      </c>
      <c r="P27" s="33">
        <f t="shared" si="0"/>
        <v>25287.9</v>
      </c>
      <c r="Q27" s="33">
        <f t="shared" si="0"/>
        <v>15667.199999999999</v>
      </c>
      <c r="R27" s="33">
        <f t="shared" si="0"/>
        <v>14532</v>
      </c>
      <c r="S27" s="33">
        <f t="shared" si="1"/>
        <v>639</v>
      </c>
      <c r="T27" s="33">
        <f t="shared" si="2"/>
        <v>55487.1</v>
      </c>
      <c r="U27" s="34">
        <f t="shared" si="4"/>
        <v>86.834272300469479</v>
      </c>
    </row>
    <row r="28" spans="1:21" ht="13.5" customHeight="1" x14ac:dyDescent="0.2">
      <c r="A28" s="17"/>
      <c r="C28" s="29">
        <v>17</v>
      </c>
      <c r="D28" s="1" t="s">
        <v>37</v>
      </c>
      <c r="E28" s="18">
        <v>153.30000000000001</v>
      </c>
      <c r="F28" s="18">
        <v>104.4</v>
      </c>
      <c r="G28" s="18">
        <v>77.599999999999994</v>
      </c>
      <c r="I28" s="18">
        <f t="shared" si="3"/>
        <v>106.42671601615075</v>
      </c>
      <c r="J28" s="42">
        <f>(I28/'Urban 14-15'!I28)-1</f>
        <v>6.379576427154765E-2</v>
      </c>
      <c r="K28" s="16"/>
      <c r="M28" s="35">
        <f>294+103</f>
        <v>397</v>
      </c>
      <c r="N28" s="35">
        <f>275+202</f>
        <v>477</v>
      </c>
      <c r="O28" s="35">
        <f>324+288</f>
        <v>612</v>
      </c>
      <c r="P28" s="33">
        <f t="shared" si="0"/>
        <v>60860.100000000006</v>
      </c>
      <c r="Q28" s="33">
        <f t="shared" si="0"/>
        <v>49798.8</v>
      </c>
      <c r="R28" s="33">
        <f t="shared" si="0"/>
        <v>47491.199999999997</v>
      </c>
      <c r="S28" s="33">
        <f t="shared" si="1"/>
        <v>1486</v>
      </c>
      <c r="T28" s="33">
        <f t="shared" si="2"/>
        <v>158150.1</v>
      </c>
      <c r="U28" s="34">
        <f t="shared" si="4"/>
        <v>106.42671601615075</v>
      </c>
    </row>
    <row r="29" spans="1:21" ht="13.5" customHeight="1" x14ac:dyDescent="0.2">
      <c r="A29" s="17"/>
      <c r="C29" s="29">
        <v>18</v>
      </c>
      <c r="D29" s="1" t="s">
        <v>38</v>
      </c>
      <c r="E29" s="18">
        <v>117.2</v>
      </c>
      <c r="F29" s="18">
        <v>92.6</v>
      </c>
      <c r="G29" s="18">
        <v>82.8</v>
      </c>
      <c r="I29" s="18">
        <f t="shared" si="3"/>
        <v>98.86989247311827</v>
      </c>
      <c r="J29" s="42">
        <f>(I29/'Urban 14-15'!I29)-1</f>
        <v>0.10801201972843466</v>
      </c>
      <c r="K29" s="16"/>
      <c r="M29" s="35">
        <f>139+57</f>
        <v>196</v>
      </c>
      <c r="N29" s="35">
        <f>141+86</f>
        <v>227</v>
      </c>
      <c r="O29" s="35">
        <f>75+60</f>
        <v>135</v>
      </c>
      <c r="P29" s="33">
        <f t="shared" si="0"/>
        <v>22971.200000000001</v>
      </c>
      <c r="Q29" s="33">
        <f t="shared" si="0"/>
        <v>21020.199999999997</v>
      </c>
      <c r="R29" s="33">
        <f t="shared" si="0"/>
        <v>11178</v>
      </c>
      <c r="S29" s="33">
        <f t="shared" si="1"/>
        <v>558</v>
      </c>
      <c r="T29" s="33">
        <f t="shared" si="2"/>
        <v>55169.399999999994</v>
      </c>
      <c r="U29" s="34">
        <f t="shared" si="4"/>
        <v>98.86989247311827</v>
      </c>
    </row>
    <row r="30" spans="1:21" ht="13.5" customHeight="1" x14ac:dyDescent="0.2">
      <c r="A30" s="17"/>
      <c r="C30" s="29">
        <v>19</v>
      </c>
      <c r="D30" s="1" t="s">
        <v>39</v>
      </c>
      <c r="E30" s="18">
        <v>123.8</v>
      </c>
      <c r="F30" s="18">
        <v>87.4</v>
      </c>
      <c r="G30" s="18">
        <v>70.599999999999994</v>
      </c>
      <c r="I30" s="18">
        <f t="shared" si="3"/>
        <v>87.24864864864864</v>
      </c>
      <c r="J30" s="42">
        <f>(I30/'Urban 14-15'!I30)-1</f>
        <v>1.0639288839782379E-2</v>
      </c>
      <c r="K30" s="16"/>
      <c r="M30" s="35">
        <f>151+53</f>
        <v>204</v>
      </c>
      <c r="N30" s="35">
        <f>183+161</f>
        <v>344</v>
      </c>
      <c r="O30" s="35">
        <f>205+246</f>
        <v>451</v>
      </c>
      <c r="P30" s="33">
        <f t="shared" si="0"/>
        <v>25255.200000000001</v>
      </c>
      <c r="Q30" s="33">
        <f t="shared" si="0"/>
        <v>30065.600000000002</v>
      </c>
      <c r="R30" s="33">
        <f t="shared" si="0"/>
        <v>31840.6</v>
      </c>
      <c r="S30" s="33">
        <f t="shared" si="1"/>
        <v>999</v>
      </c>
      <c r="T30" s="33">
        <f t="shared" si="2"/>
        <v>87161.4</v>
      </c>
      <c r="U30" s="34">
        <f t="shared" si="4"/>
        <v>87.24864864864864</v>
      </c>
    </row>
    <row r="31" spans="1:21" ht="13.5" customHeight="1" x14ac:dyDescent="0.2">
      <c r="A31" s="17"/>
      <c r="C31" s="29">
        <v>20</v>
      </c>
      <c r="D31" s="1" t="s">
        <v>40</v>
      </c>
      <c r="E31" s="18">
        <v>126.4</v>
      </c>
      <c r="F31" s="18">
        <v>94</v>
      </c>
      <c r="G31" s="18">
        <v>79.8</v>
      </c>
      <c r="I31" s="18">
        <f t="shared" si="3"/>
        <v>99.940903540903548</v>
      </c>
      <c r="J31" s="42">
        <f>(I31/'Urban 14-15'!I31)-1</f>
        <v>2.3026676853511674E-2</v>
      </c>
      <c r="K31" s="16"/>
      <c r="M31" s="35">
        <f>203+62</f>
        <v>265</v>
      </c>
      <c r="N31" s="35">
        <f>170+122</f>
        <v>292</v>
      </c>
      <c r="O31" s="35">
        <f>114+148</f>
        <v>262</v>
      </c>
      <c r="P31" s="33">
        <f t="shared" si="0"/>
        <v>33496</v>
      </c>
      <c r="Q31" s="33">
        <f t="shared" si="0"/>
        <v>27448</v>
      </c>
      <c r="R31" s="33">
        <f t="shared" si="0"/>
        <v>20907.599999999999</v>
      </c>
      <c r="S31" s="33">
        <f t="shared" si="1"/>
        <v>819</v>
      </c>
      <c r="T31" s="33">
        <f t="shared" si="2"/>
        <v>81851.600000000006</v>
      </c>
      <c r="U31" s="34">
        <f t="shared" si="4"/>
        <v>99.940903540903548</v>
      </c>
    </row>
    <row r="32" spans="1:21" ht="13.5" customHeight="1" x14ac:dyDescent="0.2">
      <c r="A32" s="17"/>
      <c r="C32" s="29">
        <v>21</v>
      </c>
      <c r="D32" s="1" t="s">
        <v>41</v>
      </c>
      <c r="E32" s="18">
        <v>103.3</v>
      </c>
      <c r="F32" s="18">
        <v>78</v>
      </c>
      <c r="G32" s="18">
        <v>71.3</v>
      </c>
      <c r="I32" s="18">
        <f t="shared" si="3"/>
        <v>83.632885085574571</v>
      </c>
      <c r="J32" s="42">
        <f>(I32/'Urban 14-15'!I32)-1</f>
        <v>1.4344437276237132E-2</v>
      </c>
      <c r="K32" s="16"/>
      <c r="M32" s="35">
        <f>167+71</f>
        <v>238</v>
      </c>
      <c r="N32" s="35">
        <f>211+158</f>
        <v>369</v>
      </c>
      <c r="O32" s="35">
        <f>84+127</f>
        <v>211</v>
      </c>
      <c r="P32" s="33">
        <f t="shared" si="0"/>
        <v>24585.399999999998</v>
      </c>
      <c r="Q32" s="33">
        <f t="shared" si="0"/>
        <v>28782</v>
      </c>
      <c r="R32" s="33">
        <f t="shared" si="0"/>
        <v>15044.3</v>
      </c>
      <c r="S32" s="33">
        <f t="shared" si="1"/>
        <v>818</v>
      </c>
      <c r="T32" s="33">
        <f t="shared" si="2"/>
        <v>68411.7</v>
      </c>
      <c r="U32" s="34">
        <f t="shared" si="4"/>
        <v>83.632885085574571</v>
      </c>
    </row>
    <row r="33" spans="1:21" ht="13.5" customHeight="1" x14ac:dyDescent="0.2">
      <c r="A33" s="17"/>
      <c r="K33" s="16"/>
    </row>
    <row r="34" spans="1:21" ht="13.5" customHeight="1" x14ac:dyDescent="0.2">
      <c r="A34" s="17"/>
      <c r="D34" s="41" t="s">
        <v>43</v>
      </c>
      <c r="E34" s="38">
        <f>P34/M34</f>
        <v>126.45694643956496</v>
      </c>
      <c r="F34" s="38">
        <f>Q34/N34</f>
        <v>89.695457862094131</v>
      </c>
      <c r="G34" s="38">
        <f t="shared" ref="G34" si="7">R34/O34</f>
        <v>76.897568975496796</v>
      </c>
      <c r="H34" s="36"/>
      <c r="I34" s="38">
        <f t="shared" ref="I34" si="8">U34</f>
        <v>96.955547689535337</v>
      </c>
      <c r="J34" s="43">
        <f>(I34/'Urban 14-15'!I34)-1</f>
        <v>3.053344838026617E-2</v>
      </c>
      <c r="K34" s="16"/>
      <c r="M34" s="37">
        <f t="shared" ref="M34:R34" si="9">SUM(M12:M32)</f>
        <v>4873</v>
      </c>
      <c r="N34" s="37">
        <f t="shared" si="9"/>
        <v>5482</v>
      </c>
      <c r="O34" s="37">
        <f t="shared" si="9"/>
        <v>5183</v>
      </c>
      <c r="P34" s="37">
        <f t="shared" si="9"/>
        <v>616224.70000000007</v>
      </c>
      <c r="Q34" s="37">
        <f t="shared" si="9"/>
        <v>491710.5</v>
      </c>
      <c r="R34" s="37">
        <f t="shared" si="9"/>
        <v>398560.09999999992</v>
      </c>
      <c r="S34" s="33">
        <f>M34+N34+O34</f>
        <v>15538</v>
      </c>
      <c r="T34" s="33">
        <f>P34+Q34+R34</f>
        <v>1506495.3</v>
      </c>
      <c r="U34" s="34">
        <f>T34/S34</f>
        <v>96.955547689535337</v>
      </c>
    </row>
    <row r="35" spans="1:21" ht="13.5" customHeight="1" x14ac:dyDescent="0.2">
      <c r="A35" s="17"/>
      <c r="D35" s="41" t="s">
        <v>44</v>
      </c>
      <c r="E35" s="38">
        <f>MEDIAN(E12:E32)</f>
        <v>120.35</v>
      </c>
      <c r="F35" s="38">
        <f>MEDIAN(F12:F32)</f>
        <v>88.550000000000011</v>
      </c>
      <c r="G35" s="38">
        <f>MEDIAN(G12:G32)</f>
        <v>75.150000000000006</v>
      </c>
      <c r="H35" s="36"/>
      <c r="I35" s="38">
        <f>MEDIAN(I12:I32)</f>
        <v>94.139078501130484</v>
      </c>
      <c r="J35" s="43">
        <f>(I35/'Urban 14-15'!I35)-1</f>
        <v>5.5931694155479272E-2</v>
      </c>
      <c r="K35" s="16"/>
    </row>
    <row r="36" spans="1:21" ht="13.5" customHeight="1" x14ac:dyDescent="0.2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2">
      <c r="A37" s="17"/>
      <c r="K37" s="16"/>
    </row>
    <row r="38" spans="1:21" ht="13.5" customHeight="1" x14ac:dyDescent="0.2">
      <c r="A38" s="17"/>
      <c r="B38" s="14" t="s">
        <v>62</v>
      </c>
      <c r="K38" s="16"/>
    </row>
    <row r="39" spans="1:21" ht="13.5" customHeight="1" x14ac:dyDescent="0.2">
      <c r="A39" s="17"/>
      <c r="B39" s="14"/>
      <c r="K39" s="16"/>
    </row>
    <row r="40" spans="1:21" ht="13.5" customHeight="1" x14ac:dyDescent="0.2">
      <c r="A40" s="17"/>
      <c r="B40" s="14" t="s">
        <v>63</v>
      </c>
      <c r="K40" s="16"/>
    </row>
    <row r="41" spans="1:21" ht="13.5" customHeight="1" x14ac:dyDescent="0.2">
      <c r="A41" s="17"/>
      <c r="B41" s="14" t="s">
        <v>64</v>
      </c>
      <c r="K41" s="16"/>
    </row>
    <row r="42" spans="1:21" ht="13.5" customHeight="1" x14ac:dyDescent="0.2">
      <c r="A42" s="17"/>
      <c r="B42" s="14"/>
      <c r="K42" s="16"/>
    </row>
    <row r="43" spans="1:21" ht="13.5" customHeight="1" x14ac:dyDescent="0.2">
      <c r="A43" s="19"/>
      <c r="B43" s="39" t="s">
        <v>17</v>
      </c>
      <c r="C43" s="30"/>
      <c r="D43" s="20"/>
      <c r="E43" s="20"/>
      <c r="F43" s="20"/>
      <c r="G43" s="20"/>
      <c r="H43" s="20"/>
      <c r="I43" s="20"/>
      <c r="J43" s="40" t="s">
        <v>66</v>
      </c>
      <c r="K43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Urban 23-24</vt:lpstr>
      <vt:lpstr>Urban 22-23</vt:lpstr>
      <vt:lpstr>Urban 21-22</vt:lpstr>
      <vt:lpstr>Urban 20-21</vt:lpstr>
      <vt:lpstr>Urban 19-20</vt:lpstr>
      <vt:lpstr>Urban 18-19</vt:lpstr>
      <vt:lpstr>Urban 17-18</vt:lpstr>
      <vt:lpstr>Urban 16-17</vt:lpstr>
      <vt:lpstr>Urban 15-16</vt:lpstr>
      <vt:lpstr>Urban 14-15</vt:lpstr>
      <vt:lpstr>Urban 13-14</vt:lpstr>
      <vt:lpstr>Urban 12-13</vt:lpstr>
      <vt:lpstr>Urban 11-12</vt:lpstr>
      <vt:lpstr>Urban 10-11</vt:lpstr>
      <vt:lpstr>Urban 09-10</vt:lpstr>
      <vt:lpstr>Urban 08-09</vt:lpstr>
      <vt:lpstr>Urban 07-08</vt:lpstr>
      <vt:lpstr>'Urban 07-08'!Print_Area</vt:lpstr>
      <vt:lpstr>'Urban 08-09'!Print_Area</vt:lpstr>
      <vt:lpstr>'Urban 09-10'!Print_Area</vt:lpstr>
      <vt:lpstr>'Urban 10-11'!Print_Area</vt:lpstr>
      <vt:lpstr>'Urban 11-12'!Print_Area</vt:lpstr>
      <vt:lpstr>'Urban 12-13'!Print_Area</vt:lpstr>
      <vt:lpstr>'Urban 13-14'!Print_Area</vt:lpstr>
      <vt:lpstr>'Urban 14-15'!Print_Area</vt:lpstr>
      <vt:lpstr>'Urban 15-16'!Print_Area</vt:lpstr>
      <vt:lpstr>'Urban 16-17'!Print_Area</vt:lpstr>
      <vt:lpstr>'Urban 17-18'!Print_Area</vt:lpstr>
      <vt:lpstr>'Urban 18-19'!Print_Area</vt:lpstr>
      <vt:lpstr>'Urban 19-20'!Print_Area</vt:lpstr>
      <vt:lpstr>'Urban 20-21'!Print_Area</vt:lpstr>
      <vt:lpstr>'Urban 21-22'!Print_Area</vt:lpstr>
      <vt:lpstr>'Urban 22-23'!Print_Area</vt:lpstr>
      <vt:lpstr>'Urban 23-24'!Print_Area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 J.</cp:lastModifiedBy>
  <cp:lastPrinted>2019-08-30T13:10:24Z</cp:lastPrinted>
  <dcterms:created xsi:type="dcterms:W3CDTF">2015-04-20T19:27:21Z</dcterms:created>
  <dcterms:modified xsi:type="dcterms:W3CDTF">2024-04-10T20:04:15Z</dcterms:modified>
</cp:coreProperties>
</file>