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E33C75C9-0E82-4C86-9A4A-E1D765A0435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2" i="2" l="1"/>
  <c r="BT26" i="3" l="1"/>
  <c r="BT25" i="3"/>
  <c r="BT18" i="3"/>
  <c r="BT19" i="3"/>
  <c r="BT17" i="3"/>
  <c r="BT14" i="3"/>
  <c r="BT12" i="3"/>
  <c r="BT11" i="3"/>
  <c r="BT14" i="2"/>
  <c r="BT33" i="2"/>
  <c r="BT34" i="2"/>
  <c r="BT20" i="5"/>
  <c r="BT25" i="2"/>
  <c r="BT24" i="2"/>
  <c r="BT26" i="2"/>
  <c r="BT12" i="2"/>
  <c r="BT11" i="2"/>
  <c r="BT11" i="5" s="1"/>
  <c r="BT27" i="4"/>
  <c r="BT14" i="4"/>
  <c r="BT29" i="4"/>
  <c r="BT28" i="4"/>
  <c r="BT21" i="4"/>
  <c r="BT20" i="4"/>
  <c r="BT19" i="4"/>
  <c r="BT17" i="4"/>
  <c r="BT11" i="4"/>
  <c r="BT12" i="4"/>
  <c r="BT15" i="4" s="1"/>
  <c r="BT33" i="1"/>
  <c r="BT35" i="1"/>
  <c r="BT34" i="1"/>
  <c r="BT27" i="1"/>
  <c r="BT26" i="1"/>
  <c r="BT25" i="1"/>
  <c r="BT14" i="1"/>
  <c r="BT12" i="1"/>
  <c r="BT11" i="1"/>
  <c r="BT47" i="5"/>
  <c r="BT46" i="5"/>
  <c r="BT44" i="5"/>
  <c r="BT43" i="5"/>
  <c r="BT38" i="5"/>
  <c r="BT37" i="5"/>
  <c r="BT36" i="5"/>
  <c r="BT30" i="5"/>
  <c r="BT29" i="5"/>
  <c r="BT28" i="5"/>
  <c r="BT25" i="5"/>
  <c r="BT24" i="5"/>
  <c r="BT23" i="5"/>
  <c r="BT22" i="5"/>
  <c r="BT21" i="5"/>
  <c r="BT19" i="5"/>
  <c r="BT18" i="5"/>
  <c r="BT17" i="5"/>
  <c r="BT14" i="5"/>
  <c r="BT13" i="5"/>
  <c r="BT12" i="5"/>
  <c r="BT36" i="1"/>
  <c r="BT28" i="1"/>
  <c r="BT23" i="1"/>
  <c r="BT15" i="1"/>
  <c r="BT35" i="2"/>
  <c r="BT27" i="2"/>
  <c r="BT22" i="2"/>
  <c r="BT15" i="2"/>
  <c r="BT27" i="3"/>
  <c r="BT20" i="3"/>
  <c r="BT15" i="3"/>
  <c r="BT30" i="4"/>
  <c r="BT22" i="4"/>
  <c r="BS32" i="2"/>
  <c r="BS14" i="2"/>
  <c r="BS34" i="2"/>
  <c r="BS33" i="2"/>
  <c r="BS25" i="2"/>
  <c r="BS24" i="2"/>
  <c r="BS26" i="2"/>
  <c r="BS12" i="2"/>
  <c r="BS11" i="2"/>
  <c r="BS27" i="4"/>
  <c r="BS29" i="4"/>
  <c r="BS28" i="4"/>
  <c r="BS21" i="4"/>
  <c r="BS20" i="4"/>
  <c r="BS19" i="4"/>
  <c r="BS17" i="4"/>
  <c r="BS14" i="4"/>
  <c r="BS12" i="4"/>
  <c r="BS11" i="4"/>
  <c r="BS26" i="3"/>
  <c r="BS25" i="3"/>
  <c r="BS18" i="3"/>
  <c r="BS17" i="3"/>
  <c r="BS19" i="3"/>
  <c r="BS14" i="3"/>
  <c r="BS12" i="3"/>
  <c r="BS11" i="3"/>
  <c r="BS35" i="1"/>
  <c r="BS25" i="1"/>
  <c r="BS26" i="1"/>
  <c r="BS27" i="1"/>
  <c r="BS34" i="1"/>
  <c r="BS33" i="1"/>
  <c r="BS11" i="1"/>
  <c r="BS14" i="1"/>
  <c r="BS12" i="1"/>
  <c r="BT22" i="3" l="1"/>
  <c r="BT24" i="4"/>
  <c r="BT39" i="5"/>
  <c r="BT26" i="5"/>
  <c r="BT31" i="5"/>
  <c r="BT15" i="5"/>
  <c r="BT30" i="1"/>
  <c r="BT29" i="2"/>
  <c r="BS11" i="5"/>
  <c r="BS20" i="5"/>
  <c r="BS47" i="5"/>
  <c r="BS46" i="5"/>
  <c r="BS44" i="5"/>
  <c r="BS43" i="5"/>
  <c r="BS38" i="5"/>
  <c r="BS37" i="5"/>
  <c r="BS36" i="5"/>
  <c r="BS30" i="5"/>
  <c r="BS29" i="5"/>
  <c r="BS28" i="5"/>
  <c r="BS25" i="5"/>
  <c r="BS24" i="5"/>
  <c r="BS23" i="5"/>
  <c r="BS22" i="5"/>
  <c r="BS21" i="5"/>
  <c r="BS19" i="5"/>
  <c r="BS18" i="5"/>
  <c r="BS17" i="5"/>
  <c r="BS14" i="5"/>
  <c r="BS13" i="5"/>
  <c r="BS12" i="5"/>
  <c r="BS30" i="4"/>
  <c r="BS22" i="4"/>
  <c r="BS15" i="4"/>
  <c r="BS27" i="3"/>
  <c r="BS20" i="3"/>
  <c r="BS15" i="3"/>
  <c r="BS35" i="2"/>
  <c r="BS27" i="2"/>
  <c r="BS22" i="2"/>
  <c r="BS15" i="2"/>
  <c r="BT33" i="5" l="1"/>
  <c r="BS31" i="5"/>
  <c r="BS15" i="5"/>
  <c r="BS26" i="5"/>
  <c r="BS39" i="5"/>
  <c r="BS24" i="4"/>
  <c r="BS22" i="3"/>
  <c r="BS29" i="2"/>
  <c r="BS33" i="5" l="1"/>
  <c r="BS36" i="1" l="1"/>
  <c r="BS28" i="1"/>
  <c r="BS23" i="1"/>
  <c r="BS15" i="1"/>
  <c r="BR26" i="1"/>
  <c r="BR34" i="2"/>
  <c r="BR33" i="2"/>
  <c r="BR32" i="2"/>
  <c r="BR14" i="2"/>
  <c r="BR26" i="2"/>
  <c r="BR25" i="2"/>
  <c r="BR24" i="2"/>
  <c r="BR12" i="2"/>
  <c r="BR11" i="2"/>
  <c r="BR25" i="3"/>
  <c r="BR26" i="3"/>
  <c r="BR19" i="3"/>
  <c r="BR18" i="3"/>
  <c r="BR17" i="3"/>
  <c r="BR14" i="3"/>
  <c r="BR12" i="3"/>
  <c r="BR11" i="3"/>
  <c r="BR29" i="4"/>
  <c r="BR28" i="4"/>
  <c r="BR27" i="4"/>
  <c r="BR21" i="4"/>
  <c r="BR20" i="4"/>
  <c r="BR19" i="4"/>
  <c r="BR17" i="4"/>
  <c r="BR14" i="4"/>
  <c r="BR12" i="4"/>
  <c r="BR11" i="4"/>
  <c r="BR35" i="1"/>
  <c r="BR33" i="1"/>
  <c r="BS30" i="1" l="1"/>
  <c r="BR34" i="1"/>
  <c r="BR36" i="1" s="1"/>
  <c r="BR29" i="5"/>
  <c r="BR25" i="1"/>
  <c r="BR28" i="5" s="1"/>
  <c r="BR27" i="1"/>
  <c r="BR30" i="5" s="1"/>
  <c r="BR14" i="1"/>
  <c r="BR14" i="5" s="1"/>
  <c r="BR12" i="1"/>
  <c r="BR12" i="5" s="1"/>
  <c r="BR11" i="1"/>
  <c r="BR47" i="5"/>
  <c r="BR46" i="5"/>
  <c r="BR44" i="5"/>
  <c r="BR43" i="5"/>
  <c r="BR38" i="5"/>
  <c r="BR37" i="5"/>
  <c r="BR36" i="5"/>
  <c r="BR25" i="5"/>
  <c r="BR24" i="5"/>
  <c r="BR23" i="5"/>
  <c r="BR22" i="5"/>
  <c r="BR21" i="5"/>
  <c r="BR19" i="5"/>
  <c r="BR18" i="5"/>
  <c r="BR17" i="5"/>
  <c r="BR13" i="5"/>
  <c r="BQ14" i="4"/>
  <c r="BR30" i="4"/>
  <c r="BR22" i="4"/>
  <c r="BR15" i="4"/>
  <c r="BR27" i="3"/>
  <c r="BR20" i="3"/>
  <c r="BR15" i="3"/>
  <c r="BR35" i="2"/>
  <c r="BR27" i="2"/>
  <c r="BR22" i="2"/>
  <c r="BR15" i="2"/>
  <c r="BR23" i="1"/>
  <c r="BQ34" i="1"/>
  <c r="BR22" i="3" l="1"/>
  <c r="BR39" i="5"/>
  <c r="BR15" i="1"/>
  <c r="BR26" i="5"/>
  <c r="BR31" i="5"/>
  <c r="BR28" i="1"/>
  <c r="BR11" i="5"/>
  <c r="BR15" i="5" s="1"/>
  <c r="BR24" i="4"/>
  <c r="BR29" i="2"/>
  <c r="BQ26" i="3"/>
  <c r="BQ25" i="3"/>
  <c r="BQ19" i="3"/>
  <c r="BQ18" i="3"/>
  <c r="BQ17" i="3"/>
  <c r="BQ14" i="3"/>
  <c r="BQ12" i="3"/>
  <c r="BQ11" i="3"/>
  <c r="BR30" i="1" l="1"/>
  <c r="BR33" i="5"/>
  <c r="BQ34" i="2"/>
  <c r="BQ33" i="2"/>
  <c r="BQ32" i="2"/>
  <c r="BQ26" i="2"/>
  <c r="BQ25" i="2"/>
  <c r="BQ24" i="2"/>
  <c r="BQ14" i="2"/>
  <c r="BQ13" i="2"/>
  <c r="BQ12" i="2"/>
  <c r="BQ11" i="2"/>
  <c r="BQ35" i="1" l="1"/>
  <c r="BQ33" i="1"/>
  <c r="BQ14" i="1"/>
  <c r="BQ12" i="1"/>
  <c r="BQ25" i="1" l="1"/>
  <c r="BQ27" i="1"/>
  <c r="BQ26" i="1"/>
  <c r="BQ11" i="1"/>
  <c r="BQ47" i="5"/>
  <c r="BQ46" i="5"/>
  <c r="BQ44" i="5"/>
  <c r="BQ43" i="5"/>
  <c r="BQ25" i="5"/>
  <c r="BQ24" i="5"/>
  <c r="BQ23" i="5"/>
  <c r="BQ21" i="5"/>
  <c r="BQ19" i="5"/>
  <c r="BQ18" i="5"/>
  <c r="BQ17" i="5"/>
  <c r="BQ13" i="5"/>
  <c r="BQ36" i="1"/>
  <c r="BQ23" i="1"/>
  <c r="BQ35" i="2"/>
  <c r="BQ27" i="2"/>
  <c r="BQ22" i="2"/>
  <c r="BQ15" i="2"/>
  <c r="BQ28" i="1" l="1"/>
  <c r="BQ15" i="1"/>
  <c r="BQ29" i="2"/>
  <c r="BQ27" i="3"/>
  <c r="BQ20" i="3"/>
  <c r="BQ15" i="3"/>
  <c r="BQ22" i="3" l="1"/>
  <c r="BQ30" i="1"/>
  <c r="BQ27" i="4"/>
  <c r="BQ36" i="5" s="1"/>
  <c r="BQ29" i="4"/>
  <c r="BQ38" i="5" s="1"/>
  <c r="BQ28" i="4"/>
  <c r="BQ37" i="5" s="1"/>
  <c r="BQ14" i="5"/>
  <c r="BQ21" i="4"/>
  <c r="BQ30" i="5" s="1"/>
  <c r="BQ20" i="4"/>
  <c r="BQ29" i="5" s="1"/>
  <c r="BQ19" i="4"/>
  <c r="BQ28" i="5" s="1"/>
  <c r="BQ17" i="4"/>
  <c r="BQ22" i="5" s="1"/>
  <c r="BQ26" i="5" s="1"/>
  <c r="BQ12" i="4"/>
  <c r="BQ12" i="5" s="1"/>
  <c r="BQ11" i="4"/>
  <c r="BQ11" i="5" s="1"/>
  <c r="BQ15" i="5" l="1"/>
  <c r="BQ31" i="5"/>
  <c r="BQ39" i="5"/>
  <c r="BQ30" i="4"/>
  <c r="BQ22" i="4"/>
  <c r="BQ15" i="4"/>
  <c r="BQ33" i="5" l="1"/>
  <c r="BQ24" i="4"/>
  <c r="BP32" i="2"/>
  <c r="BP14" i="2"/>
  <c r="BP13" i="2"/>
  <c r="BP27" i="4" l="1"/>
  <c r="BP26" i="3" l="1"/>
  <c r="BP25" i="3"/>
  <c r="BP34" i="2" l="1"/>
  <c r="BP33" i="2"/>
  <c r="BP25" i="2"/>
  <c r="BP24" i="2"/>
  <c r="BP26" i="2"/>
  <c r="BP12" i="2"/>
  <c r="BP11" i="2"/>
  <c r="BP35" i="1" l="1"/>
  <c r="BP34" i="1"/>
  <c r="BP33" i="1"/>
  <c r="BP25" i="1"/>
  <c r="BP27" i="1"/>
  <c r="BP26" i="1"/>
  <c r="BP14" i="1"/>
  <c r="BP12" i="1"/>
  <c r="BP11" i="1"/>
  <c r="BP47" i="5" l="1"/>
  <c r="BP46" i="5"/>
  <c r="BP44" i="5"/>
  <c r="BP43" i="5"/>
  <c r="BP36" i="5"/>
  <c r="BP25" i="5"/>
  <c r="BP24" i="5"/>
  <c r="BP23" i="5"/>
  <c r="BP21" i="5"/>
  <c r="BP19" i="5"/>
  <c r="BP18" i="5"/>
  <c r="BP17" i="5"/>
  <c r="BP13" i="5"/>
  <c r="BP36" i="1"/>
  <c r="BP28" i="1"/>
  <c r="BP23" i="1"/>
  <c r="BP15" i="1"/>
  <c r="BP35" i="2"/>
  <c r="BP27" i="2"/>
  <c r="BP22" i="2"/>
  <c r="BP15" i="2"/>
  <c r="BP30" i="1" l="1"/>
  <c r="BP29" i="2"/>
  <c r="BJ47" i="5"/>
  <c r="BJ46" i="5"/>
  <c r="BJ44" i="5"/>
  <c r="BJ43" i="5"/>
  <c r="BJ13" i="5"/>
  <c r="BJ29" i="4"/>
  <c r="BJ28" i="4"/>
  <c r="BJ27" i="4"/>
  <c r="BJ21" i="4"/>
  <c r="BJ20" i="4"/>
  <c r="BJ19" i="4"/>
  <c r="BJ17" i="4"/>
  <c r="BJ22" i="5" s="1"/>
  <c r="BJ14" i="4"/>
  <c r="BJ12" i="4"/>
  <c r="BJ11" i="4"/>
  <c r="BJ15" i="4" l="1"/>
  <c r="BJ30" i="4"/>
  <c r="BJ22" i="4"/>
  <c r="BJ24" i="4" s="1"/>
  <c r="BP29" i="4"/>
  <c r="BP38" i="5" s="1"/>
  <c r="BP14" i="4"/>
  <c r="BP28" i="4"/>
  <c r="BP37" i="5" s="1"/>
  <c r="BP21" i="4"/>
  <c r="BP20" i="4"/>
  <c r="BP19" i="4"/>
  <c r="BP17" i="4"/>
  <c r="BP22" i="5" s="1"/>
  <c r="BP26" i="5" s="1"/>
  <c r="BP12" i="4"/>
  <c r="BP11" i="4"/>
  <c r="BP39" i="5" l="1"/>
  <c r="BP22" i="4"/>
  <c r="BP15" i="4"/>
  <c r="BP24" i="4" s="1"/>
  <c r="BP18" i="3"/>
  <c r="BP29" i="5" s="1"/>
  <c r="BP19" i="3"/>
  <c r="BP30" i="5" s="1"/>
  <c r="BP17" i="3"/>
  <c r="BP28" i="5" s="1"/>
  <c r="BP14" i="3"/>
  <c r="BP14" i="5" s="1"/>
  <c r="BP12" i="3"/>
  <c r="BP12" i="5" s="1"/>
  <c r="BP11" i="3"/>
  <c r="BP11" i="5" s="1"/>
  <c r="BP27" i="3"/>
  <c r="BP31" i="5" l="1"/>
  <c r="BP20" i="3"/>
  <c r="BP15" i="5"/>
  <c r="BP15" i="3"/>
  <c r="AG30" i="5"/>
  <c r="AG14" i="5"/>
  <c r="AG12" i="5"/>
  <c r="AG11" i="5"/>
  <c r="AG15" i="1"/>
  <c r="AG15" i="2"/>
  <c r="AG15" i="3"/>
  <c r="AG15" i="4"/>
  <c r="BP33" i="5" l="1"/>
  <c r="BP22" i="3"/>
  <c r="AG15" i="5"/>
  <c r="AH25" i="5"/>
  <c r="AH23" i="5"/>
  <c r="AH22" i="5"/>
  <c r="AH19" i="5"/>
  <c r="AH18" i="5"/>
  <c r="AH17" i="5"/>
  <c r="AH14" i="5"/>
  <c r="AH11" i="5"/>
  <c r="AH22" i="4"/>
  <c r="AH12" i="4"/>
  <c r="AH15" i="4" s="1"/>
  <c r="AH19" i="3"/>
  <c r="AH18" i="3"/>
  <c r="AH17" i="3"/>
  <c r="AH20" i="3" s="1"/>
  <c r="AH12" i="3"/>
  <c r="AH15" i="3" s="1"/>
  <c r="AH24" i="2"/>
  <c r="AH27" i="2" s="1"/>
  <c r="AH12" i="2"/>
  <c r="AH15" i="2" s="1"/>
  <c r="AH27" i="1"/>
  <c r="AH30" i="5" s="1"/>
  <c r="AH26" i="1"/>
  <c r="AH25" i="1"/>
  <c r="AH12" i="1"/>
  <c r="AH15" i="1" s="1"/>
  <c r="AH29" i="5" l="1"/>
  <c r="AH28" i="5"/>
  <c r="AH28" i="1"/>
  <c r="AH12" i="5"/>
  <c r="AH15" i="5" s="1"/>
  <c r="BO13" i="2"/>
  <c r="BO14" i="2"/>
  <c r="BO32" i="2"/>
  <c r="AH31" i="5" l="1"/>
  <c r="BO29" i="4"/>
  <c r="BO28" i="4"/>
  <c r="BO27" i="4"/>
  <c r="BO14" i="4"/>
  <c r="BO12" i="4"/>
  <c r="BO11" i="4"/>
  <c r="BO20" i="4" l="1"/>
  <c r="BO19" i="4"/>
  <c r="BO21" i="4"/>
  <c r="BO17" i="4"/>
  <c r="BO34" i="1" l="1"/>
  <c r="BO35" i="1"/>
  <c r="BO33" i="1"/>
  <c r="BO26" i="1"/>
  <c r="BO25" i="1"/>
  <c r="BO27" i="1"/>
  <c r="BO14" i="1"/>
  <c r="BO12" i="1"/>
  <c r="BO11" i="1"/>
  <c r="BN14" i="2" l="1"/>
  <c r="BN13" i="2"/>
  <c r="BO34" i="2" l="1"/>
  <c r="BO33" i="2"/>
  <c r="BO26" i="2"/>
  <c r="BO25" i="2"/>
  <c r="BO24" i="2"/>
  <c r="BO12" i="2"/>
  <c r="BO11" i="2"/>
  <c r="BO26" i="3" l="1"/>
  <c r="BO25" i="3"/>
  <c r="BO19" i="3"/>
  <c r="BO18" i="3"/>
  <c r="BO17" i="3"/>
  <c r="BO14" i="3"/>
  <c r="BO12" i="3"/>
  <c r="BO11" i="3"/>
  <c r="BO24" i="5" l="1"/>
  <c r="BO21" i="5"/>
  <c r="BO23" i="1"/>
  <c r="BO47" i="5" l="1"/>
  <c r="BO46" i="5"/>
  <c r="BO44" i="5"/>
  <c r="BO43" i="5"/>
  <c r="BO38" i="5"/>
  <c r="BO37" i="5"/>
  <c r="BO36" i="5"/>
  <c r="BO30" i="5"/>
  <c r="BO29" i="5"/>
  <c r="BO28" i="5"/>
  <c r="BO25" i="5"/>
  <c r="BO23" i="5"/>
  <c r="BO22" i="5"/>
  <c r="BO19" i="5"/>
  <c r="BO18" i="5"/>
  <c r="BO17" i="5"/>
  <c r="BO14" i="5"/>
  <c r="BO13" i="5"/>
  <c r="BO12" i="5"/>
  <c r="BO11" i="5"/>
  <c r="BO30" i="4"/>
  <c r="BO22" i="4"/>
  <c r="BO15" i="4"/>
  <c r="BO27" i="3"/>
  <c r="BO20" i="3"/>
  <c r="BO15" i="3"/>
  <c r="BN11" i="3"/>
  <c r="BN12" i="3"/>
  <c r="BN14" i="3"/>
  <c r="BO35" i="2"/>
  <c r="BO27" i="2"/>
  <c r="BO22" i="2"/>
  <c r="BO15" i="2"/>
  <c r="BN11" i="2"/>
  <c r="BN12" i="2"/>
  <c r="BN24" i="2"/>
  <c r="BN25" i="2"/>
  <c r="BN26" i="2"/>
  <c r="BN32" i="2"/>
  <c r="BN33" i="2"/>
  <c r="BN34" i="2"/>
  <c r="BN17" i="3"/>
  <c r="BN18" i="3"/>
  <c r="BN19" i="3"/>
  <c r="BN25" i="3"/>
  <c r="BN26" i="3"/>
  <c r="BN11" i="4"/>
  <c r="BN12" i="4"/>
  <c r="BN14" i="4"/>
  <c r="BN17" i="4"/>
  <c r="BN19" i="4"/>
  <c r="BN20" i="4"/>
  <c r="BN21" i="4"/>
  <c r="BN27" i="4"/>
  <c r="BN28" i="4"/>
  <c r="BN29" i="4"/>
  <c r="BO36" i="1"/>
  <c r="BO28" i="1"/>
  <c r="BO15" i="1"/>
  <c r="BO24" i="4" l="1"/>
  <c r="BO30" i="1"/>
  <c r="BO26" i="5"/>
  <c r="BO15" i="5"/>
  <c r="BO31" i="5"/>
  <c r="BO39" i="5"/>
  <c r="BO22" i="3"/>
  <c r="BO29" i="2"/>
  <c r="BN47" i="5"/>
  <c r="BN46" i="5"/>
  <c r="BN44" i="5"/>
  <c r="BN43" i="5"/>
  <c r="BN35" i="1"/>
  <c r="BN34" i="1"/>
  <c r="BN33" i="1"/>
  <c r="BN27" i="1"/>
  <c r="BN26" i="1"/>
  <c r="BN25" i="1"/>
  <c r="BN14" i="1"/>
  <c r="BN12" i="1"/>
  <c r="BN11" i="1"/>
  <c r="BO33" i="5" l="1"/>
  <c r="BN22" i="2"/>
  <c r="BN35" i="2" l="1"/>
  <c r="BN27" i="2"/>
  <c r="BN15" i="2"/>
  <c r="BN29" i="2" l="1"/>
  <c r="BN36" i="1" l="1"/>
  <c r="BN28" i="1"/>
  <c r="BN23" i="1"/>
  <c r="BN15" i="1"/>
  <c r="BN30" i="4"/>
  <c r="BN22" i="4"/>
  <c r="BN15" i="4"/>
  <c r="BN30" i="1" l="1"/>
  <c r="BN24" i="4"/>
  <c r="BN27" i="3"/>
  <c r="BN20" i="3"/>
  <c r="BN15" i="3"/>
  <c r="BN22" i="3" l="1"/>
  <c r="BM12" i="2"/>
  <c r="BN25" i="5"/>
  <c r="BN13" i="5"/>
  <c r="BN23" i="5" l="1"/>
  <c r="BN19" i="5"/>
  <c r="BN18" i="5"/>
  <c r="BN17" i="5" l="1"/>
  <c r="BM13" i="5" l="1"/>
  <c r="BM14" i="4" l="1"/>
  <c r="BM29" i="4" l="1"/>
  <c r="BM28" i="4"/>
  <c r="BM27" i="4"/>
  <c r="BL14" i="4"/>
  <c r="BK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BM20" i="4"/>
  <c r="BM21" i="4"/>
  <c r="BM19" i="4"/>
  <c r="BM12" i="4"/>
  <c r="BM11" i="4"/>
  <c r="BM17" i="4" l="1"/>
  <c r="BN22" i="5" s="1"/>
  <c r="BN26" i="5" s="1"/>
  <c r="BM30" i="4" l="1"/>
  <c r="BM22" i="4"/>
  <c r="BM15" i="4"/>
  <c r="BM24" i="4" l="1"/>
  <c r="BM34" i="2"/>
  <c r="BM33" i="2"/>
  <c r="BM32" i="2"/>
  <c r="BM25" i="2"/>
  <c r="BM24" i="2"/>
  <c r="BM26" i="2"/>
  <c r="BM14" i="2"/>
  <c r="BM11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BM22" i="2"/>
  <c r="BM15" i="2" l="1"/>
  <c r="BM27" i="2"/>
  <c r="BM35" i="2"/>
  <c r="BM26" i="3"/>
  <c r="BM25" i="3"/>
  <c r="BM19" i="3"/>
  <c r="BM18" i="3"/>
  <c r="BM17" i="3"/>
  <c r="BM14" i="3"/>
  <c r="BM12" i="3"/>
  <c r="BM11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BM29" i="2" l="1"/>
  <c r="BM27" i="3"/>
  <c r="BM20" i="3"/>
  <c r="BM15" i="3"/>
  <c r="BM47" i="5"/>
  <c r="BM46" i="5"/>
  <c r="BM44" i="5"/>
  <c r="BM43" i="5"/>
  <c r="BM25" i="5"/>
  <c r="BM23" i="5"/>
  <c r="BM22" i="5"/>
  <c r="BM19" i="5"/>
  <c r="BM18" i="5"/>
  <c r="BM17" i="5"/>
  <c r="BM35" i="1"/>
  <c r="BN38" i="5" s="1"/>
  <c r="BM34" i="1"/>
  <c r="BM33" i="1"/>
  <c r="BM26" i="1"/>
  <c r="BN29" i="5" s="1"/>
  <c r="BM27" i="1"/>
  <c r="BM25" i="1"/>
  <c r="BM14" i="1"/>
  <c r="BM14" i="5" s="1"/>
  <c r="BM12" i="1"/>
  <c r="BM12" i="5" s="1"/>
  <c r="BM11" i="1"/>
  <c r="BL14" i="1"/>
  <c r="BK14" i="1"/>
  <c r="BJ14" i="1"/>
  <c r="BJ14" i="5" s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BM22" i="3" l="1"/>
  <c r="BM38" i="5"/>
  <c r="BM11" i="5"/>
  <c r="BM15" i="5" s="1"/>
  <c r="BN11" i="5"/>
  <c r="BM30" i="5"/>
  <c r="BN30" i="5"/>
  <c r="BM29" i="5"/>
  <c r="BM36" i="5"/>
  <c r="BN36" i="5"/>
  <c r="BM28" i="5"/>
  <c r="BM37" i="5"/>
  <c r="BM15" i="1"/>
  <c r="BM28" i="1"/>
  <c r="BM26" i="5"/>
  <c r="BM39" i="5" l="1"/>
  <c r="BM31" i="5"/>
  <c r="BM33" i="5" s="1"/>
  <c r="BN37" i="5"/>
  <c r="BN39" i="5" s="1"/>
  <c r="BN14" i="5"/>
  <c r="BN12" i="5"/>
  <c r="BN28" i="5"/>
  <c r="BN31" i="5" s="1"/>
  <c r="BN15" i="5" l="1"/>
  <c r="BN33" i="5" s="1"/>
  <c r="BM23" i="1"/>
  <c r="BD13" i="5" l="1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I15" i="4" l="1"/>
  <c r="BG20" i="3" l="1"/>
  <c r="AN20" i="3"/>
  <c r="AM20" i="3"/>
  <c r="AL20" i="3"/>
  <c r="AK20" i="3"/>
  <c r="AJ20" i="3"/>
  <c r="AI20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BL29" i="4"/>
  <c r="BL28" i="4"/>
  <c r="BL27" i="4"/>
  <c r="BL21" i="4"/>
  <c r="BL20" i="4"/>
  <c r="BL19" i="4"/>
  <c r="BL17" i="4"/>
  <c r="BL12" i="4"/>
  <c r="BL11" i="4"/>
  <c r="BL26" i="3"/>
  <c r="BL25" i="3"/>
  <c r="BL19" i="3"/>
  <c r="BL18" i="3"/>
  <c r="BL17" i="3"/>
  <c r="BL12" i="3"/>
  <c r="BL11" i="3"/>
  <c r="BL34" i="2"/>
  <c r="BL33" i="2"/>
  <c r="BL32" i="2"/>
  <c r="BL26" i="2"/>
  <c r="BL25" i="2"/>
  <c r="BL24" i="2"/>
  <c r="BL22" i="2"/>
  <c r="BL12" i="2"/>
  <c r="BL11" i="2"/>
  <c r="BL35" i="1"/>
  <c r="BL34" i="1"/>
  <c r="BL33" i="1"/>
  <c r="BL27" i="1"/>
  <c r="BL26" i="1"/>
  <c r="BL25" i="1"/>
  <c r="BL23" i="1"/>
  <c r="BL12" i="1"/>
  <c r="BL11" i="1"/>
  <c r="BL15" i="3" l="1"/>
  <c r="BL30" i="4"/>
  <c r="BL22" i="4"/>
  <c r="BL15" i="4"/>
  <c r="BL27" i="3"/>
  <c r="BL20" i="3"/>
  <c r="BL15" i="2"/>
  <c r="BL27" i="2"/>
  <c r="BL36" i="1"/>
  <c r="BM36" i="1"/>
  <c r="BL28" i="1"/>
  <c r="BL15" i="1"/>
  <c r="BL35" i="2"/>
  <c r="BL22" i="3" l="1"/>
  <c r="BL29" i="2"/>
  <c r="BL24" i="4"/>
  <c r="BL30" i="1"/>
  <c r="BL47" i="5"/>
  <c r="BL46" i="5"/>
  <c r="BL44" i="5"/>
  <c r="BL43" i="5"/>
  <c r="BL38" i="5"/>
  <c r="BL37" i="5"/>
  <c r="BL36" i="5"/>
  <c r="BL30" i="5"/>
  <c r="BL29" i="5"/>
  <c r="BL28" i="5"/>
  <c r="BL25" i="5"/>
  <c r="BL23" i="5"/>
  <c r="BL22" i="5"/>
  <c r="BL19" i="5"/>
  <c r="BL18" i="5"/>
  <c r="BL17" i="5"/>
  <c r="BL14" i="5"/>
  <c r="BL13" i="5"/>
  <c r="BL12" i="5"/>
  <c r="BL11" i="5"/>
  <c r="BM30" i="1" l="1"/>
  <c r="BL39" i="5"/>
  <c r="BL26" i="5"/>
  <c r="BL31" i="5"/>
  <c r="BL15" i="5"/>
  <c r="BK29" i="4"/>
  <c r="BK28" i="4"/>
  <c r="BK27" i="4"/>
  <c r="BK21" i="4"/>
  <c r="BK20" i="4"/>
  <c r="BK19" i="4"/>
  <c r="BK17" i="4"/>
  <c r="BK22" i="5" s="1"/>
  <c r="BK12" i="4"/>
  <c r="BK11" i="4"/>
  <c r="BK26" i="3"/>
  <c r="BK25" i="3"/>
  <c r="BK19" i="3"/>
  <c r="BK18" i="3"/>
  <c r="BK17" i="3"/>
  <c r="BK12" i="3"/>
  <c r="BK11" i="3"/>
  <c r="BK34" i="2"/>
  <c r="BK33" i="2"/>
  <c r="BK32" i="2"/>
  <c r="BK26" i="2"/>
  <c r="BK25" i="2"/>
  <c r="BK24" i="2"/>
  <c r="BK22" i="2"/>
  <c r="BK12" i="2"/>
  <c r="BK11" i="2"/>
  <c r="BK47" i="5"/>
  <c r="BK46" i="5"/>
  <c r="BK44" i="5"/>
  <c r="BK43" i="5"/>
  <c r="BK25" i="5"/>
  <c r="BK23" i="5"/>
  <c r="BK19" i="5"/>
  <c r="BK18" i="5"/>
  <c r="BK17" i="5"/>
  <c r="BK13" i="5"/>
  <c r="BK23" i="1"/>
  <c r="BK35" i="1"/>
  <c r="BK34" i="1"/>
  <c r="BK33" i="1"/>
  <c r="BK27" i="1"/>
  <c r="BK26" i="1"/>
  <c r="BK25" i="1"/>
  <c r="BK12" i="1"/>
  <c r="BK11" i="1"/>
  <c r="BK37" i="5" l="1"/>
  <c r="BK15" i="3"/>
  <c r="BK15" i="4"/>
  <c r="BK15" i="1"/>
  <c r="BK30" i="4"/>
  <c r="BK12" i="5"/>
  <c r="BK36" i="1"/>
  <c r="BK30" i="5"/>
  <c r="BK22" i="4"/>
  <c r="BK24" i="4" s="1"/>
  <c r="BK27" i="3"/>
  <c r="BK20" i="3"/>
  <c r="BK15" i="2"/>
  <c r="BK27" i="2"/>
  <c r="BK28" i="1"/>
  <c r="BK38" i="5"/>
  <c r="BL33" i="5"/>
  <c r="BK35" i="2"/>
  <c r="BK28" i="5"/>
  <c r="BK11" i="5"/>
  <c r="BK14" i="5"/>
  <c r="BK29" i="5"/>
  <c r="BK26" i="5"/>
  <c r="BK36" i="5"/>
  <c r="BK22" i="3" l="1"/>
  <c r="BK30" i="1"/>
  <c r="BK29" i="2"/>
  <c r="BK39" i="5"/>
  <c r="BK31" i="5"/>
  <c r="BK15" i="5"/>
  <c r="BK33" i="5" l="1"/>
  <c r="AL14" i="5"/>
  <c r="AK14" i="5"/>
  <c r="AJ14" i="5"/>
  <c r="AI14" i="5"/>
  <c r="AL12" i="5"/>
  <c r="AK12" i="5"/>
  <c r="AJ12" i="5"/>
  <c r="AI12" i="5"/>
  <c r="AL11" i="5"/>
  <c r="AK11" i="5"/>
  <c r="AJ11" i="5"/>
  <c r="AI11" i="5"/>
  <c r="AL15" i="4"/>
  <c r="AK15" i="4"/>
  <c r="AJ15" i="4"/>
  <c r="AL15" i="3"/>
  <c r="AK15" i="3"/>
  <c r="AJ15" i="3"/>
  <c r="AI15" i="3"/>
  <c r="AL15" i="2"/>
  <c r="AK15" i="2"/>
  <c r="AJ15" i="2"/>
  <c r="AI15" i="2"/>
  <c r="AL15" i="1"/>
  <c r="AK15" i="1"/>
  <c r="AJ15" i="1"/>
  <c r="AI15" i="1"/>
  <c r="AJ15" i="5" l="1"/>
  <c r="AK15" i="5"/>
  <c r="AI15" i="5"/>
  <c r="AL15" i="5"/>
  <c r="BI13" i="5"/>
  <c r="BH13" i="5"/>
  <c r="BG13" i="5"/>
  <c r="BF13" i="5"/>
  <c r="BE13" i="5"/>
  <c r="E33" i="5" l="1"/>
  <c r="J33" i="5" l="1"/>
  <c r="I33" i="5"/>
  <c r="H33" i="5"/>
  <c r="G33" i="5"/>
  <c r="F33" i="5"/>
  <c r="K33" i="5"/>
  <c r="R28" i="5"/>
  <c r="R25" i="5"/>
  <c r="Q25" i="5"/>
  <c r="P25" i="5"/>
  <c r="O25" i="5"/>
  <c r="R18" i="5"/>
  <c r="R17" i="5"/>
  <c r="O15" i="5"/>
  <c r="R15" i="5"/>
  <c r="Q15" i="5"/>
  <c r="P15" i="5"/>
  <c r="P38" i="5"/>
  <c r="O38" i="5"/>
  <c r="O37" i="5"/>
  <c r="O36" i="5"/>
  <c r="P37" i="5"/>
  <c r="P36" i="5"/>
  <c r="Q38" i="5"/>
  <c r="Q37" i="5"/>
  <c r="Q36" i="5"/>
  <c r="R38" i="5"/>
  <c r="R37" i="5"/>
  <c r="R36" i="5"/>
  <c r="S36" i="1"/>
  <c r="S17" i="5"/>
  <c r="S25" i="5"/>
  <c r="S15" i="5"/>
  <c r="U31" i="5"/>
  <c r="U26" i="5"/>
  <c r="U15" i="5"/>
  <c r="W31" i="5"/>
  <c r="W26" i="5"/>
  <c r="W15" i="5"/>
  <c r="Y31" i="5"/>
  <c r="Y26" i="5"/>
  <c r="Y15" i="5"/>
  <c r="W39" i="5"/>
  <c r="W44" i="5"/>
  <c r="W47" i="5"/>
  <c r="Z25" i="5"/>
  <c r="Z23" i="5"/>
  <c r="Z19" i="5"/>
  <c r="Z18" i="5"/>
  <c r="Z17" i="5"/>
  <c r="AA37" i="5"/>
  <c r="W33" i="5" l="1"/>
  <c r="Q39" i="5"/>
  <c r="P39" i="5"/>
  <c r="U33" i="5"/>
  <c r="R39" i="5"/>
  <c r="Z26" i="5"/>
  <c r="Y33" i="5"/>
  <c r="O39" i="5"/>
  <c r="Y39" i="5"/>
  <c r="X39" i="5"/>
  <c r="Z47" i="5"/>
  <c r="Y47" i="5"/>
  <c r="X47" i="5"/>
  <c r="Y46" i="5"/>
  <c r="X46" i="5"/>
  <c r="Z44" i="5"/>
  <c r="Y44" i="5"/>
  <c r="X44" i="5"/>
  <c r="Z43" i="5"/>
  <c r="Y43" i="5"/>
  <c r="X43" i="5"/>
  <c r="AB31" i="5"/>
  <c r="AA31" i="5"/>
  <c r="AB25" i="5"/>
  <c r="AA25" i="5"/>
  <c r="AB23" i="5"/>
  <c r="AA23" i="5"/>
  <c r="AB22" i="5"/>
  <c r="AB19" i="5"/>
  <c r="AA19" i="5"/>
  <c r="AB18" i="5"/>
  <c r="AA18" i="5"/>
  <c r="AB17" i="5"/>
  <c r="AA17" i="5"/>
  <c r="AB15" i="5"/>
  <c r="AA15" i="5"/>
  <c r="AB47" i="5"/>
  <c r="AA47" i="5"/>
  <c r="AB46" i="5"/>
  <c r="AA46" i="5"/>
  <c r="AB44" i="5"/>
  <c r="AA44" i="5"/>
  <c r="AB43" i="5"/>
  <c r="AA43" i="5"/>
  <c r="AB38" i="5"/>
  <c r="AA38" i="5"/>
  <c r="AB37" i="5"/>
  <c r="AB36" i="5"/>
  <c r="AA36" i="5"/>
  <c r="AG31" i="5"/>
  <c r="AF31" i="5"/>
  <c r="AE31" i="5"/>
  <c r="AD31" i="5"/>
  <c r="AC31" i="5"/>
  <c r="AH47" i="5"/>
  <c r="AG47" i="5"/>
  <c r="AF47" i="5"/>
  <c r="AE47" i="5"/>
  <c r="AD47" i="5"/>
  <c r="AC47" i="5"/>
  <c r="AG46" i="5"/>
  <c r="AF46" i="5"/>
  <c r="AE46" i="5"/>
  <c r="AD46" i="5"/>
  <c r="AC46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G25" i="5"/>
  <c r="AF25" i="5"/>
  <c r="AE25" i="5"/>
  <c r="AD25" i="5"/>
  <c r="AC25" i="5"/>
  <c r="AG23" i="5"/>
  <c r="AF23" i="5"/>
  <c r="AE23" i="5"/>
  <c r="AD23" i="5"/>
  <c r="AC23" i="5"/>
  <c r="AG22" i="5"/>
  <c r="AF22" i="5"/>
  <c r="AE22" i="5"/>
  <c r="AD22" i="5"/>
  <c r="AC22" i="5"/>
  <c r="AG19" i="5"/>
  <c r="AF19" i="5"/>
  <c r="AE19" i="5"/>
  <c r="AD19" i="5"/>
  <c r="AC19" i="5"/>
  <c r="AG18" i="5"/>
  <c r="AF18" i="5"/>
  <c r="AE18" i="5"/>
  <c r="AD18" i="5"/>
  <c r="AC18" i="5"/>
  <c r="AG17" i="5"/>
  <c r="AF17" i="5"/>
  <c r="AE17" i="5"/>
  <c r="AD17" i="5"/>
  <c r="AC17" i="5"/>
  <c r="AF15" i="5"/>
  <c r="AE15" i="5"/>
  <c r="AD15" i="5"/>
  <c r="AC15" i="5"/>
  <c r="AM15" i="5"/>
  <c r="AN15" i="5"/>
  <c r="AN47" i="5"/>
  <c r="AM47" i="5"/>
  <c r="AL47" i="5"/>
  <c r="AK47" i="5"/>
  <c r="AJ47" i="5"/>
  <c r="AI47" i="5"/>
  <c r="AN46" i="5"/>
  <c r="AM46" i="5"/>
  <c r="AL46" i="5"/>
  <c r="AK46" i="5"/>
  <c r="AJ46" i="5"/>
  <c r="AI46" i="5"/>
  <c r="AN44" i="5"/>
  <c r="AM44" i="5"/>
  <c r="AL44" i="5"/>
  <c r="AK44" i="5"/>
  <c r="AJ44" i="5"/>
  <c r="AI44" i="5"/>
  <c r="AN43" i="5"/>
  <c r="AM43" i="5"/>
  <c r="AL43" i="5"/>
  <c r="AK43" i="5"/>
  <c r="AJ43" i="5"/>
  <c r="AI43" i="5"/>
  <c r="AN38" i="5"/>
  <c r="AM38" i="5"/>
  <c r="AL38" i="5"/>
  <c r="AK38" i="5"/>
  <c r="AJ38" i="5"/>
  <c r="AI38" i="5"/>
  <c r="AN37" i="5"/>
  <c r="AM37" i="5"/>
  <c r="AL37" i="5"/>
  <c r="AK37" i="5"/>
  <c r="AJ37" i="5"/>
  <c r="AI37" i="5"/>
  <c r="AN36" i="5"/>
  <c r="AM36" i="5"/>
  <c r="AL36" i="5"/>
  <c r="AK36" i="5"/>
  <c r="AJ36" i="5"/>
  <c r="AI36" i="5"/>
  <c r="AN30" i="5"/>
  <c r="AM30" i="5"/>
  <c r="AL30" i="5"/>
  <c r="AK30" i="5"/>
  <c r="AJ30" i="5"/>
  <c r="AI30" i="5"/>
  <c r="AN29" i="5"/>
  <c r="AM29" i="5"/>
  <c r="AL29" i="5"/>
  <c r="AK29" i="5"/>
  <c r="AJ29" i="5"/>
  <c r="AI29" i="5"/>
  <c r="AN28" i="5"/>
  <c r="AM28" i="5"/>
  <c r="AL28" i="5"/>
  <c r="AK28" i="5"/>
  <c r="AJ28" i="5"/>
  <c r="AI28" i="5"/>
  <c r="AN25" i="5"/>
  <c r="AM25" i="5"/>
  <c r="AL25" i="5"/>
  <c r="AK25" i="5"/>
  <c r="AJ25" i="5"/>
  <c r="AI25" i="5"/>
  <c r="AN23" i="5"/>
  <c r="AM23" i="5"/>
  <c r="AL23" i="5"/>
  <c r="AK23" i="5"/>
  <c r="AJ23" i="5"/>
  <c r="AI23" i="5"/>
  <c r="AN22" i="5"/>
  <c r="AM22" i="5"/>
  <c r="AL22" i="5"/>
  <c r="AK22" i="5"/>
  <c r="AJ22" i="5"/>
  <c r="AI22" i="5"/>
  <c r="AN19" i="5"/>
  <c r="AM19" i="5"/>
  <c r="AL19" i="5"/>
  <c r="AK19" i="5"/>
  <c r="AJ19" i="5"/>
  <c r="AI19" i="5"/>
  <c r="AN18" i="5"/>
  <c r="AM18" i="5"/>
  <c r="AL18" i="5"/>
  <c r="AK18" i="5"/>
  <c r="AJ18" i="5"/>
  <c r="AI18" i="5"/>
  <c r="AN17" i="5"/>
  <c r="AM17" i="5"/>
  <c r="AL17" i="5"/>
  <c r="AK17" i="5"/>
  <c r="AJ17" i="5"/>
  <c r="AI17" i="5"/>
  <c r="AN11" i="5"/>
  <c r="AM11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BC44" i="5"/>
  <c r="BB44" i="5"/>
  <c r="BA44" i="5"/>
  <c r="AZ44" i="5"/>
  <c r="AY44" i="5"/>
  <c r="AX44" i="5"/>
  <c r="AV44" i="5"/>
  <c r="AU44" i="5"/>
  <c r="AT44" i="5"/>
  <c r="AS44" i="5"/>
  <c r="AR44" i="5"/>
  <c r="AQ44" i="5"/>
  <c r="AP44" i="5"/>
  <c r="AO44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BC25" i="5"/>
  <c r="BB25" i="5"/>
  <c r="BA25" i="5"/>
  <c r="AZ25" i="5"/>
  <c r="AY25" i="5"/>
  <c r="AX25" i="5"/>
  <c r="AW25" i="5"/>
  <c r="AT25" i="5"/>
  <c r="AS25" i="5"/>
  <c r="AR25" i="5"/>
  <c r="AQ25" i="5"/>
  <c r="AP25" i="5"/>
  <c r="AO25" i="5"/>
  <c r="BC23" i="5"/>
  <c r="BB23" i="5"/>
  <c r="BA23" i="5"/>
  <c r="AZ23" i="5"/>
  <c r="AY23" i="5"/>
  <c r="AX23" i="5"/>
  <c r="AW23" i="5"/>
  <c r="AT23" i="5"/>
  <c r="AS23" i="5"/>
  <c r="AR23" i="5"/>
  <c r="AQ23" i="5"/>
  <c r="AP23" i="5"/>
  <c r="AO23" i="5"/>
  <c r="BC19" i="5"/>
  <c r="BB19" i="5"/>
  <c r="BA19" i="5"/>
  <c r="AZ19" i="5"/>
  <c r="AY19" i="5"/>
  <c r="AX19" i="5"/>
  <c r="AW19" i="5"/>
  <c r="AT19" i="5"/>
  <c r="AS19" i="5"/>
  <c r="AR19" i="5"/>
  <c r="AQ19" i="5"/>
  <c r="AP19" i="5"/>
  <c r="AO19" i="5"/>
  <c r="BC18" i="5"/>
  <c r="BB18" i="5"/>
  <c r="BA18" i="5"/>
  <c r="AY18" i="5"/>
  <c r="AX18" i="5"/>
  <c r="AW18" i="5"/>
  <c r="AT18" i="5"/>
  <c r="AS18" i="5"/>
  <c r="AR18" i="5"/>
  <c r="AQ18" i="5"/>
  <c r="AP18" i="5"/>
  <c r="AO18" i="5"/>
  <c r="BC17" i="5"/>
  <c r="BB17" i="5"/>
  <c r="BA17" i="5"/>
  <c r="AZ17" i="5"/>
  <c r="AY17" i="5"/>
  <c r="AX17" i="5"/>
  <c r="AW17" i="5"/>
  <c r="AT17" i="5"/>
  <c r="AS17" i="5"/>
  <c r="AR17" i="5"/>
  <c r="AQ17" i="5"/>
  <c r="AP17" i="5"/>
  <c r="AO17" i="5"/>
  <c r="BD47" i="5"/>
  <c r="BD46" i="5"/>
  <c r="BD44" i="5"/>
  <c r="BD43" i="5"/>
  <c r="BD25" i="5"/>
  <c r="BD23" i="5"/>
  <c r="BD19" i="5"/>
  <c r="BD18" i="5"/>
  <c r="BD17" i="5"/>
  <c r="BI47" i="5"/>
  <c r="BH47" i="5"/>
  <c r="BG47" i="5"/>
  <c r="BF47" i="5"/>
  <c r="BE47" i="5"/>
  <c r="BI46" i="5"/>
  <c r="BH46" i="5"/>
  <c r="BG46" i="5"/>
  <c r="BF46" i="5"/>
  <c r="BE46" i="5"/>
  <c r="BI44" i="5"/>
  <c r="BH44" i="5"/>
  <c r="BG44" i="5"/>
  <c r="BF44" i="5"/>
  <c r="BE44" i="5"/>
  <c r="BI43" i="5"/>
  <c r="BH43" i="5"/>
  <c r="BG43" i="5"/>
  <c r="BF43" i="5"/>
  <c r="BE43" i="5"/>
  <c r="BI25" i="5"/>
  <c r="BH25" i="5"/>
  <c r="BG25" i="5"/>
  <c r="BF25" i="5"/>
  <c r="BE25" i="5"/>
  <c r="BI23" i="5"/>
  <c r="BH23" i="5"/>
  <c r="BG23" i="5"/>
  <c r="BF23" i="5"/>
  <c r="BE23" i="5"/>
  <c r="BI19" i="5"/>
  <c r="BH19" i="5"/>
  <c r="BG19" i="5"/>
  <c r="BF19" i="5"/>
  <c r="BE19" i="5"/>
  <c r="BI18" i="5"/>
  <c r="BH18" i="5"/>
  <c r="BG18" i="5"/>
  <c r="BF18" i="5"/>
  <c r="BE18" i="5"/>
  <c r="BI17" i="5"/>
  <c r="BH17" i="5"/>
  <c r="BG17" i="5"/>
  <c r="BF17" i="5"/>
  <c r="BE17" i="5"/>
  <c r="BJ25" i="5"/>
  <c r="BJ23" i="5"/>
  <c r="BJ19" i="5"/>
  <c r="BJ18" i="5"/>
  <c r="BJ17" i="5"/>
  <c r="BI14" i="5"/>
  <c r="BH14" i="5"/>
  <c r="BG14" i="5"/>
  <c r="BF14" i="5"/>
  <c r="BE14" i="5"/>
  <c r="AW35" i="4"/>
  <c r="AW44" i="5" s="1"/>
  <c r="BC34" i="4"/>
  <c r="BC43" i="5" s="1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R30" i="4"/>
  <c r="Q30" i="4"/>
  <c r="P30" i="4"/>
  <c r="O30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V28" i="4"/>
  <c r="AU28" i="4"/>
  <c r="AT28" i="4"/>
  <c r="AS28" i="4"/>
  <c r="AR28" i="4"/>
  <c r="AQ28" i="4"/>
  <c r="AP28" i="4"/>
  <c r="AO28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H24" i="4"/>
  <c r="AG24" i="4"/>
  <c r="AF24" i="4"/>
  <c r="AE24" i="4"/>
  <c r="AD24" i="4"/>
  <c r="AC24" i="4"/>
  <c r="AB24" i="4"/>
  <c r="AA24" i="4"/>
  <c r="Y24" i="4"/>
  <c r="W24" i="4"/>
  <c r="U24" i="4"/>
  <c r="S24" i="4"/>
  <c r="P24" i="4"/>
  <c r="O24" i="4"/>
  <c r="N24" i="4"/>
  <c r="AN22" i="4"/>
  <c r="AN24" i="4" s="1"/>
  <c r="AM22" i="4"/>
  <c r="AM24" i="4" s="1"/>
  <c r="AL22" i="4"/>
  <c r="AL24" i="4" s="1"/>
  <c r="AK22" i="4"/>
  <c r="AK24" i="4" s="1"/>
  <c r="AJ22" i="4"/>
  <c r="AJ24" i="4" s="1"/>
  <c r="AI22" i="4"/>
  <c r="AI24" i="4" s="1"/>
  <c r="R22" i="4"/>
  <c r="R24" i="4" s="1"/>
  <c r="Q22" i="4"/>
  <c r="Q24" i="4" s="1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BI17" i="4"/>
  <c r="BI22" i="5" s="1"/>
  <c r="BH17" i="4"/>
  <c r="BH22" i="5" s="1"/>
  <c r="BG17" i="4"/>
  <c r="BG22" i="5" s="1"/>
  <c r="BF17" i="4"/>
  <c r="BF22" i="5" s="1"/>
  <c r="BE17" i="4"/>
  <c r="BE22" i="5" s="1"/>
  <c r="BD17" i="4"/>
  <c r="BD22" i="5" s="1"/>
  <c r="BC17" i="4"/>
  <c r="BC22" i="5" s="1"/>
  <c r="BB17" i="4"/>
  <c r="BB22" i="5" s="1"/>
  <c r="BA17" i="4"/>
  <c r="BA22" i="5" s="1"/>
  <c r="AZ17" i="4"/>
  <c r="AZ22" i="5" s="1"/>
  <c r="AY17" i="4"/>
  <c r="AY22" i="5" s="1"/>
  <c r="AX17" i="4"/>
  <c r="AX22" i="5" s="1"/>
  <c r="AW17" i="4"/>
  <c r="AW22" i="5" s="1"/>
  <c r="AV17" i="4"/>
  <c r="AV22" i="5" s="1"/>
  <c r="AU17" i="4"/>
  <c r="AU22" i="5" s="1"/>
  <c r="AT17" i="4"/>
  <c r="AT22" i="5" s="1"/>
  <c r="AS17" i="4"/>
  <c r="AS22" i="5" s="1"/>
  <c r="AR17" i="4"/>
  <c r="AR22" i="5" s="1"/>
  <c r="AQ17" i="4"/>
  <c r="AQ22" i="5" s="1"/>
  <c r="AP17" i="4"/>
  <c r="AP22" i="5" s="1"/>
  <c r="AO17" i="4"/>
  <c r="AO22" i="5" s="1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BI11" i="4"/>
  <c r="BH11" i="4"/>
  <c r="BG11" i="4"/>
  <c r="BG15" i="4" s="1"/>
  <c r="BF11" i="4"/>
  <c r="BE11" i="4"/>
  <c r="BD11" i="4"/>
  <c r="BC11" i="4"/>
  <c r="BB11" i="4"/>
  <c r="BA11" i="4"/>
  <c r="AZ11" i="4"/>
  <c r="AY11" i="4"/>
  <c r="AX11" i="4"/>
  <c r="AW11" i="4"/>
  <c r="AV11" i="4"/>
  <c r="AU11" i="4"/>
  <c r="AU15" i="4" s="1"/>
  <c r="AT11" i="4"/>
  <c r="AS11" i="4"/>
  <c r="AR11" i="4"/>
  <c r="AQ11" i="4"/>
  <c r="AP11" i="4"/>
  <c r="AO11" i="4"/>
  <c r="R11" i="4"/>
  <c r="Q11" i="4"/>
  <c r="P11" i="4"/>
  <c r="R27" i="3"/>
  <c r="Q27" i="3"/>
  <c r="P27" i="3"/>
  <c r="O27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BJ25" i="3"/>
  <c r="BI25" i="3"/>
  <c r="BI27" i="3" s="1"/>
  <c r="BH25" i="3"/>
  <c r="BG25" i="3"/>
  <c r="BF25" i="3"/>
  <c r="BF27" i="3" s="1"/>
  <c r="BE25" i="3"/>
  <c r="BD25" i="3"/>
  <c r="BC25" i="3"/>
  <c r="BB25" i="3"/>
  <c r="BB27" i="3" s="1"/>
  <c r="BA25" i="3"/>
  <c r="AZ25" i="3"/>
  <c r="AY25" i="3"/>
  <c r="AX25" i="3"/>
  <c r="AW25" i="3"/>
  <c r="AW27" i="3" s="1"/>
  <c r="AV25" i="3"/>
  <c r="AU25" i="3"/>
  <c r="AT25" i="3"/>
  <c r="AT27" i="3" s="1"/>
  <c r="AS25" i="3"/>
  <c r="AS27" i="3" s="1"/>
  <c r="AR25" i="3"/>
  <c r="AQ25" i="3"/>
  <c r="AP25" i="3"/>
  <c r="AP27" i="3" s="1"/>
  <c r="AO25" i="3"/>
  <c r="AH22" i="3"/>
  <c r="AH34" i="3" s="1"/>
  <c r="AH46" i="5" s="1"/>
  <c r="AG22" i="3"/>
  <c r="AF22" i="3"/>
  <c r="AE22" i="3"/>
  <c r="AD22" i="3"/>
  <c r="AC22" i="3"/>
  <c r="AB22" i="3"/>
  <c r="AA22" i="3"/>
  <c r="Y22" i="3"/>
  <c r="W22" i="3"/>
  <c r="U22" i="3"/>
  <c r="S22" i="3"/>
  <c r="AN22" i="3"/>
  <c r="AM22" i="3"/>
  <c r="AL22" i="3"/>
  <c r="AK22" i="3"/>
  <c r="AJ22" i="3"/>
  <c r="AI22" i="3"/>
  <c r="R20" i="3"/>
  <c r="R22" i="3" s="1"/>
  <c r="Q20" i="3"/>
  <c r="Q22" i="3" s="1"/>
  <c r="P20" i="3"/>
  <c r="P22" i="3" s="1"/>
  <c r="O20" i="3"/>
  <c r="O22" i="3" s="1"/>
  <c r="BJ19" i="3"/>
  <c r="BI19" i="3"/>
  <c r="BH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BJ18" i="3"/>
  <c r="BI18" i="3"/>
  <c r="BH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BJ17" i="3"/>
  <c r="BI17" i="3"/>
  <c r="BH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P15" i="3" s="1"/>
  <c r="AO12" i="3"/>
  <c r="BJ11" i="3"/>
  <c r="BI11" i="3"/>
  <c r="BH11" i="3"/>
  <c r="BG11" i="3"/>
  <c r="BF11" i="3"/>
  <c r="BF15" i="3" s="1"/>
  <c r="BE11" i="3"/>
  <c r="BD11" i="3"/>
  <c r="BC11" i="3"/>
  <c r="BB11" i="3"/>
  <c r="BB15" i="3" s="1"/>
  <c r="BA11" i="3"/>
  <c r="AZ11" i="3"/>
  <c r="AY11" i="3"/>
  <c r="AX11" i="3"/>
  <c r="AW11" i="3"/>
  <c r="AV11" i="3"/>
  <c r="AU11" i="3"/>
  <c r="AT11" i="3"/>
  <c r="AS11" i="3"/>
  <c r="AR11" i="3"/>
  <c r="AQ11" i="3"/>
  <c r="AO11" i="3"/>
  <c r="R11" i="3"/>
  <c r="Q11" i="3"/>
  <c r="P11" i="3"/>
  <c r="O11" i="3"/>
  <c r="Z42" i="2"/>
  <c r="Z46" i="5" s="1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R35" i="2"/>
  <c r="Q35" i="2"/>
  <c r="P35" i="2"/>
  <c r="O35" i="2"/>
  <c r="BJ34" i="2"/>
  <c r="BI34" i="2"/>
  <c r="BH34" i="2"/>
  <c r="BG34" i="2"/>
  <c r="BF34" i="2"/>
  <c r="BE34" i="2"/>
  <c r="BD34" i="2"/>
  <c r="BC34" i="2"/>
  <c r="BB34" i="2"/>
  <c r="BA34" i="2"/>
  <c r="AZ34" i="2"/>
  <c r="AX34" i="2"/>
  <c r="AW34" i="2"/>
  <c r="AV34" i="2"/>
  <c r="AU34" i="2"/>
  <c r="AT34" i="2"/>
  <c r="AS34" i="2"/>
  <c r="AR34" i="2"/>
  <c r="AQ34" i="2"/>
  <c r="AP34" i="2"/>
  <c r="AO34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V35" i="2" s="1"/>
  <c r="AU32" i="2"/>
  <c r="AT32" i="2"/>
  <c r="AS32" i="2"/>
  <c r="AR32" i="2"/>
  <c r="AQ32" i="2"/>
  <c r="AP32" i="2"/>
  <c r="AO32" i="2"/>
  <c r="Y29" i="2"/>
  <c r="X29" i="2"/>
  <c r="X33" i="5" s="1"/>
  <c r="W29" i="2"/>
  <c r="V29" i="2"/>
  <c r="U29" i="2"/>
  <c r="T29" i="2"/>
  <c r="S29" i="2"/>
  <c r="N29" i="2"/>
  <c r="M29" i="2"/>
  <c r="AN27" i="2"/>
  <c r="AM27" i="2"/>
  <c r="AL27" i="2"/>
  <c r="AK27" i="2"/>
  <c r="AJ27" i="2"/>
  <c r="AI27" i="2"/>
  <c r="R27" i="2"/>
  <c r="L27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BJ24" i="2"/>
  <c r="BI24" i="2"/>
  <c r="BH24" i="2"/>
  <c r="BG24" i="2"/>
  <c r="BG27" i="2" s="1"/>
  <c r="BF24" i="2"/>
  <c r="BE24" i="2"/>
  <c r="BD24" i="2"/>
  <c r="BC24" i="2"/>
  <c r="BB24" i="2"/>
  <c r="BA24" i="2"/>
  <c r="AZ24" i="2"/>
  <c r="AY24" i="2"/>
  <c r="AX24" i="2"/>
  <c r="AW24" i="2"/>
  <c r="AV24" i="2"/>
  <c r="AU24" i="2"/>
  <c r="AU27" i="2" s="1"/>
  <c r="AT24" i="2"/>
  <c r="AS24" i="2"/>
  <c r="AR24" i="2"/>
  <c r="AQ24" i="2"/>
  <c r="AP24" i="2"/>
  <c r="AO24" i="2"/>
  <c r="Q24" i="2"/>
  <c r="P24" i="2"/>
  <c r="P27" i="2" s="1"/>
  <c r="P29" i="2" s="1"/>
  <c r="O24" i="2"/>
  <c r="O27" i="2" s="1"/>
  <c r="O29" i="2" s="1"/>
  <c r="BJ22" i="2"/>
  <c r="BI22" i="2"/>
  <c r="BH22" i="2"/>
  <c r="BG22" i="2"/>
  <c r="BF22" i="2"/>
  <c r="BE22" i="2"/>
  <c r="BD22" i="2"/>
  <c r="BC22" i="2"/>
  <c r="BB22" i="2"/>
  <c r="BA22" i="2"/>
  <c r="AY22" i="2"/>
  <c r="AX22" i="2"/>
  <c r="AW22" i="2"/>
  <c r="AT22" i="2"/>
  <c r="AS22" i="2"/>
  <c r="AR22" i="2"/>
  <c r="AQ22" i="2"/>
  <c r="AP22" i="2"/>
  <c r="AO22" i="2"/>
  <c r="AN22" i="2"/>
  <c r="AN29" i="2" s="1"/>
  <c r="AM22" i="2"/>
  <c r="AM29" i="2" s="1"/>
  <c r="AL22" i="2"/>
  <c r="AK22" i="2"/>
  <c r="AJ22" i="2"/>
  <c r="AI22" i="2"/>
  <c r="AH22" i="2"/>
  <c r="AH29" i="2" s="1"/>
  <c r="AG22" i="2"/>
  <c r="AG29" i="2" s="1"/>
  <c r="AF22" i="2"/>
  <c r="AF29" i="2" s="1"/>
  <c r="AE22" i="2"/>
  <c r="AE29" i="2" s="1"/>
  <c r="AD22" i="2"/>
  <c r="AD29" i="2" s="1"/>
  <c r="AC22" i="2"/>
  <c r="AC29" i="2" s="1"/>
  <c r="AB22" i="2"/>
  <c r="AB29" i="2" s="1"/>
  <c r="AA22" i="2"/>
  <c r="AA29" i="2" s="1"/>
  <c r="Z22" i="2"/>
  <c r="Z29" i="2" s="1"/>
  <c r="R22" i="2"/>
  <c r="AV21" i="2"/>
  <c r="AV23" i="5" s="1"/>
  <c r="AU21" i="2"/>
  <c r="AU23" i="5" s="1"/>
  <c r="AV19" i="2"/>
  <c r="AV19" i="5" s="1"/>
  <c r="AU19" i="2"/>
  <c r="AZ18" i="2"/>
  <c r="AV18" i="2"/>
  <c r="AU18" i="2"/>
  <c r="AV17" i="2"/>
  <c r="AU17" i="2"/>
  <c r="AU17" i="5" s="1"/>
  <c r="L15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R11" i="2"/>
  <c r="Q11" i="2"/>
  <c r="P11" i="2"/>
  <c r="AJ29" i="2" l="1"/>
  <c r="L29" i="2"/>
  <c r="AI29" i="2"/>
  <c r="AK29" i="2"/>
  <c r="AL29" i="2"/>
  <c r="AT15" i="3"/>
  <c r="BE27" i="3"/>
  <c r="AY15" i="4"/>
  <c r="AX15" i="3"/>
  <c r="AO27" i="3"/>
  <c r="BA27" i="3"/>
  <c r="AQ15" i="4"/>
  <c r="BC15" i="4"/>
  <c r="AQ27" i="2"/>
  <c r="BC27" i="2"/>
  <c r="AR35" i="2"/>
  <c r="AX27" i="3"/>
  <c r="BJ27" i="3"/>
  <c r="AY27" i="2"/>
  <c r="BJ15" i="3"/>
  <c r="AO22" i="4"/>
  <c r="AS22" i="4"/>
  <c r="AW22" i="4"/>
  <c r="BA22" i="4"/>
  <c r="BE22" i="4"/>
  <c r="N33" i="5"/>
  <c r="AV15" i="2"/>
  <c r="BD15" i="2"/>
  <c r="AR27" i="2"/>
  <c r="AZ27" i="2"/>
  <c r="BD27" i="2"/>
  <c r="BH27" i="2"/>
  <c r="AO35" i="2"/>
  <c r="AS35" i="2"/>
  <c r="AW35" i="2"/>
  <c r="AR15" i="2"/>
  <c r="AZ15" i="2"/>
  <c r="BH15" i="2"/>
  <c r="AV27" i="2"/>
  <c r="BI22" i="4"/>
  <c r="BA30" i="4"/>
  <c r="BI30" i="4"/>
  <c r="AP15" i="4"/>
  <c r="AT15" i="4"/>
  <c r="AX15" i="4"/>
  <c r="BB15" i="4"/>
  <c r="BF15" i="4"/>
  <c r="AR22" i="4"/>
  <c r="AV22" i="4"/>
  <c r="AZ22" i="4"/>
  <c r="BD22" i="4"/>
  <c r="BH22" i="4"/>
  <c r="AQ30" i="4"/>
  <c r="AU30" i="4"/>
  <c r="AY30" i="4"/>
  <c r="BC30" i="4"/>
  <c r="BG30" i="4"/>
  <c r="AW30" i="4"/>
  <c r="BE30" i="4"/>
  <c r="AO15" i="3"/>
  <c r="AP20" i="3"/>
  <c r="AP22" i="3" s="1"/>
  <c r="AT20" i="3"/>
  <c r="AX20" i="3"/>
  <c r="BB20" i="3"/>
  <c r="BB22" i="3" s="1"/>
  <c r="BF20" i="3"/>
  <c r="BF22" i="3" s="1"/>
  <c r="AS15" i="3"/>
  <c r="AW15" i="3"/>
  <c r="BA15" i="3"/>
  <c r="BE15" i="3"/>
  <c r="BI15" i="3"/>
  <c r="AR27" i="3"/>
  <c r="AV27" i="3"/>
  <c r="AZ27" i="3"/>
  <c r="BD27" i="3"/>
  <c r="BH27" i="3"/>
  <c r="AR30" i="4"/>
  <c r="AV30" i="4"/>
  <c r="AZ30" i="4"/>
  <c r="BD30" i="4"/>
  <c r="BH30" i="4"/>
  <c r="AR15" i="4"/>
  <c r="AZ15" i="4"/>
  <c r="BD15" i="4"/>
  <c r="BH15" i="4"/>
  <c r="AP22" i="4"/>
  <c r="AT22" i="4"/>
  <c r="AX22" i="4"/>
  <c r="BB22" i="4"/>
  <c r="BF22" i="4"/>
  <c r="AO30" i="4"/>
  <c r="AS30" i="4"/>
  <c r="AV15" i="4"/>
  <c r="AO15" i="4"/>
  <c r="AS15" i="4"/>
  <c r="AW15" i="4"/>
  <c r="BA15" i="4"/>
  <c r="BE15" i="4"/>
  <c r="BI15" i="4"/>
  <c r="AQ22" i="4"/>
  <c r="AQ24" i="4" s="1"/>
  <c r="AU22" i="4"/>
  <c r="AU24" i="4" s="1"/>
  <c r="AY22" i="4"/>
  <c r="AY24" i="4" s="1"/>
  <c r="BC22" i="4"/>
  <c r="BG22" i="4"/>
  <c r="BG24" i="4" s="1"/>
  <c r="AP30" i="4"/>
  <c r="AT30" i="4"/>
  <c r="AX30" i="4"/>
  <c r="BB30" i="4"/>
  <c r="BF30" i="4"/>
  <c r="AQ15" i="3"/>
  <c r="AU15" i="3"/>
  <c r="AY15" i="3"/>
  <c r="BC15" i="3"/>
  <c r="BG15" i="3"/>
  <c r="BG22" i="3" s="1"/>
  <c r="AQ20" i="3"/>
  <c r="AU20" i="3"/>
  <c r="AY20" i="3"/>
  <c r="BC20" i="3"/>
  <c r="BH20" i="3"/>
  <c r="AR15" i="3"/>
  <c r="AV15" i="3"/>
  <c r="AZ15" i="3"/>
  <c r="BD15" i="3"/>
  <c r="BH15" i="3"/>
  <c r="AR20" i="3"/>
  <c r="AV20" i="3"/>
  <c r="AZ20" i="3"/>
  <c r="BD20" i="3"/>
  <c r="BI20" i="3"/>
  <c r="AQ27" i="3"/>
  <c r="AU27" i="3"/>
  <c r="AY27" i="3"/>
  <c r="BC27" i="3"/>
  <c r="BG27" i="3"/>
  <c r="AO20" i="3"/>
  <c r="AS20" i="3"/>
  <c r="AW20" i="3"/>
  <c r="BA20" i="3"/>
  <c r="BA22" i="3" s="1"/>
  <c r="BE20" i="3"/>
  <c r="BJ20" i="3"/>
  <c r="AO15" i="2"/>
  <c r="AS15" i="2"/>
  <c r="AW15" i="2"/>
  <c r="BA15" i="2"/>
  <c r="BE15" i="2"/>
  <c r="AZ35" i="2"/>
  <c r="BD35" i="2"/>
  <c r="BH35" i="2"/>
  <c r="BI15" i="2"/>
  <c r="AT15" i="2"/>
  <c r="BB15" i="2"/>
  <c r="BF15" i="2"/>
  <c r="AP15" i="2"/>
  <c r="AX15" i="2"/>
  <c r="R29" i="2"/>
  <c r="AO27" i="2"/>
  <c r="AS27" i="2"/>
  <c r="AW27" i="2"/>
  <c r="BA27" i="2"/>
  <c r="BE27" i="2"/>
  <c r="BI27" i="2"/>
  <c r="AP35" i="2"/>
  <c r="AT35" i="2"/>
  <c r="AX35" i="2"/>
  <c r="BB35" i="2"/>
  <c r="BF35" i="2"/>
  <c r="BJ35" i="2"/>
  <c r="BJ15" i="2"/>
  <c r="AP27" i="2"/>
  <c r="AT27" i="2"/>
  <c r="AX27" i="2"/>
  <c r="BB27" i="2"/>
  <c r="BF27" i="2"/>
  <c r="BJ27" i="2"/>
  <c r="AQ35" i="2"/>
  <c r="AU35" i="2"/>
  <c r="AY35" i="2"/>
  <c r="AQ15" i="2"/>
  <c r="AQ29" i="2" s="1"/>
  <c r="AU15" i="2"/>
  <c r="AY15" i="2"/>
  <c r="BC15" i="2"/>
  <c r="BC29" i="2" s="1"/>
  <c r="BG15" i="2"/>
  <c r="BG29" i="2" s="1"/>
  <c r="AJ26" i="5"/>
  <c r="AN26" i="5"/>
  <c r="AJ31" i="5"/>
  <c r="AN31" i="5"/>
  <c r="AL39" i="5"/>
  <c r="AD26" i="5"/>
  <c r="AD33" i="5" s="1"/>
  <c r="AH26" i="5"/>
  <c r="AH33" i="5" s="1"/>
  <c r="AK31" i="5"/>
  <c r="AD39" i="5"/>
  <c r="AH39" i="5"/>
  <c r="BE26" i="5"/>
  <c r="BI26" i="5"/>
  <c r="AK26" i="5"/>
  <c r="AI39" i="5"/>
  <c r="AM39" i="5"/>
  <c r="AE26" i="5"/>
  <c r="AE33" i="5" s="1"/>
  <c r="AE39" i="5"/>
  <c r="AA39" i="5"/>
  <c r="AI26" i="5"/>
  <c r="AM26" i="5"/>
  <c r="AI31" i="5"/>
  <c r="AM31" i="5"/>
  <c r="AK39" i="5"/>
  <c r="AC26" i="5"/>
  <c r="AC33" i="5" s="1"/>
  <c r="AG26" i="5"/>
  <c r="AG33" i="5" s="1"/>
  <c r="AC39" i="5"/>
  <c r="AG39" i="5"/>
  <c r="AA26" i="5"/>
  <c r="AA33" i="5" s="1"/>
  <c r="AL26" i="5"/>
  <c r="AL31" i="5"/>
  <c r="AJ39" i="5"/>
  <c r="AN39" i="5"/>
  <c r="AF26" i="5"/>
  <c r="AF33" i="5" s="1"/>
  <c r="AF39" i="5"/>
  <c r="AZ22" i="2"/>
  <c r="AZ18" i="5"/>
  <c r="AZ26" i="5" s="1"/>
  <c r="Q27" i="2"/>
  <c r="Q29" i="2" s="1"/>
  <c r="Q28" i="5"/>
  <c r="BJ26" i="5"/>
  <c r="BG26" i="5"/>
  <c r="AV22" i="2"/>
  <c r="AV17" i="5"/>
  <c r="AO26" i="5"/>
  <c r="AQ26" i="5"/>
  <c r="AS26" i="5"/>
  <c r="AW26" i="5"/>
  <c r="AY26" i="5"/>
  <c r="BA26" i="5"/>
  <c r="BC26" i="5"/>
  <c r="AB39" i="5"/>
  <c r="BF26" i="5"/>
  <c r="BH26" i="5"/>
  <c r="BD26" i="5"/>
  <c r="AP26" i="5"/>
  <c r="AR26" i="5"/>
  <c r="AT26" i="5"/>
  <c r="AX26" i="5"/>
  <c r="BB26" i="5"/>
  <c r="AB26" i="5"/>
  <c r="AB33" i="5" s="1"/>
  <c r="AO22" i="3"/>
  <c r="AU22" i="2"/>
  <c r="BA35" i="2"/>
  <c r="BC35" i="2"/>
  <c r="BE35" i="2"/>
  <c r="BG35" i="2"/>
  <c r="BI35" i="2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Z39" i="5" s="1"/>
  <c r="R36" i="1"/>
  <c r="Q36" i="1"/>
  <c r="P36" i="1"/>
  <c r="O36" i="1"/>
  <c r="BJ35" i="1"/>
  <c r="BJ38" i="5" s="1"/>
  <c r="BI35" i="1"/>
  <c r="BI38" i="5" s="1"/>
  <c r="BH35" i="1"/>
  <c r="BH38" i="5" s="1"/>
  <c r="BG35" i="1"/>
  <c r="BG38" i="5" s="1"/>
  <c r="BF35" i="1"/>
  <c r="BF38" i="5" s="1"/>
  <c r="BE35" i="1"/>
  <c r="BE38" i="5" s="1"/>
  <c r="BD35" i="1"/>
  <c r="BD38" i="5" s="1"/>
  <c r="BC35" i="1"/>
  <c r="BC38" i="5" s="1"/>
  <c r="BB35" i="1"/>
  <c r="BB38" i="5" s="1"/>
  <c r="BA35" i="1"/>
  <c r="BA38" i="5" s="1"/>
  <c r="AZ35" i="1"/>
  <c r="AZ38" i="5" s="1"/>
  <c r="AY35" i="1"/>
  <c r="AY38" i="5" s="1"/>
  <c r="AX35" i="1"/>
  <c r="AX38" i="5" s="1"/>
  <c r="AW35" i="1"/>
  <c r="AW38" i="5" s="1"/>
  <c r="AV35" i="1"/>
  <c r="AV38" i="5" s="1"/>
  <c r="AU35" i="1"/>
  <c r="AU38" i="5" s="1"/>
  <c r="AT35" i="1"/>
  <c r="AT38" i="5" s="1"/>
  <c r="AS35" i="1"/>
  <c r="AS38" i="5" s="1"/>
  <c r="AR35" i="1"/>
  <c r="AR38" i="5" s="1"/>
  <c r="AQ35" i="1"/>
  <c r="AQ38" i="5" s="1"/>
  <c r="AP35" i="1"/>
  <c r="AP38" i="5" s="1"/>
  <c r="AO35" i="1"/>
  <c r="AO38" i="5" s="1"/>
  <c r="BJ34" i="1"/>
  <c r="BJ37" i="5" s="1"/>
  <c r="BI34" i="1"/>
  <c r="BI37" i="5" s="1"/>
  <c r="BH34" i="1"/>
  <c r="BH37" i="5" s="1"/>
  <c r="BG34" i="1"/>
  <c r="BG37" i="5" s="1"/>
  <c r="BF34" i="1"/>
  <c r="BF37" i="5" s="1"/>
  <c r="BE34" i="1"/>
  <c r="BE37" i="5" s="1"/>
  <c r="BD34" i="1"/>
  <c r="BD37" i="5" s="1"/>
  <c r="BC34" i="1"/>
  <c r="BC37" i="5" s="1"/>
  <c r="BB34" i="1"/>
  <c r="BB37" i="5" s="1"/>
  <c r="BA34" i="1"/>
  <c r="BA37" i="5" s="1"/>
  <c r="AZ34" i="1"/>
  <c r="AZ37" i="5" s="1"/>
  <c r="AY34" i="1"/>
  <c r="AY37" i="5" s="1"/>
  <c r="AX34" i="1"/>
  <c r="AX37" i="5" s="1"/>
  <c r="AW34" i="1"/>
  <c r="AW37" i="5" s="1"/>
  <c r="AV34" i="1"/>
  <c r="AV37" i="5" s="1"/>
  <c r="AU34" i="1"/>
  <c r="AU37" i="5" s="1"/>
  <c r="AT34" i="1"/>
  <c r="AT37" i="5" s="1"/>
  <c r="AS34" i="1"/>
  <c r="AS37" i="5" s="1"/>
  <c r="AR34" i="1"/>
  <c r="AR37" i="5" s="1"/>
  <c r="AQ34" i="1"/>
  <c r="AQ37" i="5" s="1"/>
  <c r="AP34" i="1"/>
  <c r="AP37" i="5" s="1"/>
  <c r="AO34" i="1"/>
  <c r="AO37" i="5" s="1"/>
  <c r="BJ33" i="1"/>
  <c r="BJ36" i="5" s="1"/>
  <c r="BI33" i="1"/>
  <c r="BH33" i="1"/>
  <c r="BG33" i="1"/>
  <c r="BF33" i="1"/>
  <c r="BE33" i="1"/>
  <c r="BD33" i="1"/>
  <c r="BC33" i="1"/>
  <c r="BB33" i="1"/>
  <c r="BA33" i="1"/>
  <c r="AZ33" i="1"/>
  <c r="AY33" i="1"/>
  <c r="AY36" i="5" s="1"/>
  <c r="AX33" i="1"/>
  <c r="AW33" i="1"/>
  <c r="AV33" i="1"/>
  <c r="AU33" i="1"/>
  <c r="AT33" i="1"/>
  <c r="AS33" i="1"/>
  <c r="AR33" i="1"/>
  <c r="AQ33" i="1"/>
  <c r="AP33" i="1"/>
  <c r="AO33" i="1"/>
  <c r="Y30" i="1"/>
  <c r="W30" i="1"/>
  <c r="U30" i="1"/>
  <c r="AN28" i="1"/>
  <c r="AM28" i="1"/>
  <c r="AL28" i="1"/>
  <c r="AK28" i="1"/>
  <c r="AJ28" i="1"/>
  <c r="AI28" i="1"/>
  <c r="R28" i="1"/>
  <c r="R31" i="5" s="1"/>
  <c r="Q28" i="1"/>
  <c r="P28" i="1"/>
  <c r="P31" i="5" s="1"/>
  <c r="BJ27" i="1"/>
  <c r="BJ30" i="5" s="1"/>
  <c r="BI27" i="1"/>
  <c r="BI30" i="5" s="1"/>
  <c r="BH27" i="1"/>
  <c r="BH30" i="5" s="1"/>
  <c r="BG27" i="1"/>
  <c r="BG30" i="5" s="1"/>
  <c r="BF27" i="1"/>
  <c r="BF30" i="5" s="1"/>
  <c r="BE27" i="1"/>
  <c r="BE30" i="5" s="1"/>
  <c r="BD27" i="1"/>
  <c r="BD30" i="5" s="1"/>
  <c r="BC27" i="1"/>
  <c r="BC30" i="5" s="1"/>
  <c r="BB27" i="1"/>
  <c r="BB30" i="5" s="1"/>
  <c r="BA27" i="1"/>
  <c r="BA30" i="5" s="1"/>
  <c r="AZ27" i="1"/>
  <c r="AZ30" i="5" s="1"/>
  <c r="AY27" i="1"/>
  <c r="AY30" i="5" s="1"/>
  <c r="AX27" i="1"/>
  <c r="AX30" i="5" s="1"/>
  <c r="AW27" i="1"/>
  <c r="AW30" i="5" s="1"/>
  <c r="AV27" i="1"/>
  <c r="AV30" i="5" s="1"/>
  <c r="AU27" i="1"/>
  <c r="AU30" i="5" s="1"/>
  <c r="AT27" i="1"/>
  <c r="AT30" i="5" s="1"/>
  <c r="AS27" i="1"/>
  <c r="AS30" i="5" s="1"/>
  <c r="AR27" i="1"/>
  <c r="AR30" i="5" s="1"/>
  <c r="AQ27" i="1"/>
  <c r="AQ30" i="5" s="1"/>
  <c r="AP27" i="1"/>
  <c r="AP30" i="5" s="1"/>
  <c r="AO27" i="1"/>
  <c r="AO30" i="5" s="1"/>
  <c r="BJ26" i="1"/>
  <c r="BJ29" i="5" s="1"/>
  <c r="BI26" i="1"/>
  <c r="BI29" i="5" s="1"/>
  <c r="BH26" i="1"/>
  <c r="BH29" i="5" s="1"/>
  <c r="BG26" i="1"/>
  <c r="BG29" i="5" s="1"/>
  <c r="BF26" i="1"/>
  <c r="BF29" i="5" s="1"/>
  <c r="BE26" i="1"/>
  <c r="BE29" i="5" s="1"/>
  <c r="BD26" i="1"/>
  <c r="BD29" i="5" s="1"/>
  <c r="BC26" i="1"/>
  <c r="BC29" i="5" s="1"/>
  <c r="BB26" i="1"/>
  <c r="BB29" i="5" s="1"/>
  <c r="BA26" i="1"/>
  <c r="BA29" i="5" s="1"/>
  <c r="AZ26" i="1"/>
  <c r="AZ29" i="5" s="1"/>
  <c r="AY26" i="1"/>
  <c r="AY29" i="5" s="1"/>
  <c r="AX26" i="1"/>
  <c r="AX29" i="5" s="1"/>
  <c r="AW26" i="1"/>
  <c r="AW29" i="5" s="1"/>
  <c r="AV26" i="1"/>
  <c r="AV29" i="5" s="1"/>
  <c r="AU26" i="1"/>
  <c r="AU29" i="5" s="1"/>
  <c r="AT26" i="1"/>
  <c r="AT29" i="5" s="1"/>
  <c r="AS26" i="1"/>
  <c r="AS29" i="5" s="1"/>
  <c r="AR26" i="1"/>
  <c r="AR29" i="5" s="1"/>
  <c r="AQ26" i="1"/>
  <c r="AQ29" i="5" s="1"/>
  <c r="AP26" i="1"/>
  <c r="AP29" i="5" s="1"/>
  <c r="AO26" i="1"/>
  <c r="AO29" i="5" s="1"/>
  <c r="BJ25" i="1"/>
  <c r="BJ28" i="5" s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S25" i="1"/>
  <c r="S28" i="1" s="1"/>
  <c r="S31" i="5" s="1"/>
  <c r="O25" i="1"/>
  <c r="O28" i="1" s="1"/>
  <c r="O31" i="5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T23" i="1"/>
  <c r="AS23" i="1"/>
  <c r="AQ23" i="1"/>
  <c r="AP23" i="1"/>
  <c r="AO23" i="1"/>
  <c r="AN23" i="1"/>
  <c r="AM23" i="1"/>
  <c r="AL23" i="1"/>
  <c r="AK23" i="1"/>
  <c r="AJ23" i="1"/>
  <c r="AI23" i="1"/>
  <c r="AH23" i="1"/>
  <c r="AH30" i="1" s="1"/>
  <c r="AG23" i="1"/>
  <c r="AG30" i="1" s="1"/>
  <c r="AF23" i="1"/>
  <c r="AF30" i="1" s="1"/>
  <c r="AE23" i="1"/>
  <c r="AE30" i="1" s="1"/>
  <c r="AD23" i="1"/>
  <c r="AD30" i="1" s="1"/>
  <c r="AC23" i="1"/>
  <c r="AC30" i="1" s="1"/>
  <c r="AB23" i="1"/>
  <c r="AB30" i="1" s="1"/>
  <c r="AA23" i="1"/>
  <c r="AA30" i="1" s="1"/>
  <c r="Z23" i="1"/>
  <c r="Z30" i="1" s="1"/>
  <c r="Z33" i="5" s="1"/>
  <c r="S23" i="1"/>
  <c r="R23" i="1"/>
  <c r="Q23" i="1"/>
  <c r="P23" i="1"/>
  <c r="O23" i="1"/>
  <c r="AV22" i="1"/>
  <c r="AV25" i="5" s="1"/>
  <c r="AU22" i="1"/>
  <c r="AU25" i="5" s="1"/>
  <c r="AU18" i="1"/>
  <c r="AU19" i="5" s="1"/>
  <c r="AV17" i="1"/>
  <c r="AU17" i="1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BJ12" i="1"/>
  <c r="BJ12" i="5" s="1"/>
  <c r="BI12" i="1"/>
  <c r="BI12" i="5" s="1"/>
  <c r="BH12" i="1"/>
  <c r="BH12" i="5" s="1"/>
  <c r="BG12" i="1"/>
  <c r="BG12" i="5" s="1"/>
  <c r="BF12" i="1"/>
  <c r="BF12" i="5" s="1"/>
  <c r="BE12" i="1"/>
  <c r="BE12" i="5" s="1"/>
  <c r="BD12" i="1"/>
  <c r="BD12" i="5" s="1"/>
  <c r="BC12" i="1"/>
  <c r="BC12" i="5" s="1"/>
  <c r="BB12" i="1"/>
  <c r="BB12" i="5" s="1"/>
  <c r="BA12" i="1"/>
  <c r="BA12" i="5" s="1"/>
  <c r="AZ12" i="1"/>
  <c r="AZ12" i="5" s="1"/>
  <c r="AY12" i="1"/>
  <c r="AY12" i="5" s="1"/>
  <c r="AX12" i="1"/>
  <c r="AX12" i="5" s="1"/>
  <c r="AW12" i="1"/>
  <c r="AW12" i="5" s="1"/>
  <c r="AV12" i="1"/>
  <c r="AV12" i="5" s="1"/>
  <c r="AU12" i="1"/>
  <c r="AU12" i="5" s="1"/>
  <c r="AT12" i="1"/>
  <c r="AT12" i="5" s="1"/>
  <c r="AS12" i="1"/>
  <c r="AS12" i="5" s="1"/>
  <c r="AR12" i="1"/>
  <c r="AR12" i="5" s="1"/>
  <c r="AQ12" i="1"/>
  <c r="AQ12" i="5" s="1"/>
  <c r="AP12" i="1"/>
  <c r="AP12" i="5" s="1"/>
  <c r="AO12" i="1"/>
  <c r="AO12" i="5" s="1"/>
  <c r="BJ11" i="1"/>
  <c r="BJ11" i="5" s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S11" i="1"/>
  <c r="R11" i="1"/>
  <c r="R11" i="5" s="1"/>
  <c r="Q11" i="1"/>
  <c r="Q11" i="5" s="1"/>
  <c r="P11" i="1"/>
  <c r="P11" i="5" s="1"/>
  <c r="O11" i="1"/>
  <c r="AI30" i="1" l="1"/>
  <c r="AK30" i="1"/>
  <c r="AL30" i="1"/>
  <c r="AM30" i="1"/>
  <c r="AJ30" i="1"/>
  <c r="AN30" i="1"/>
  <c r="BJ22" i="3"/>
  <c r="BH22" i="3"/>
  <c r="AX22" i="3"/>
  <c r="AT22" i="3"/>
  <c r="BC24" i="4"/>
  <c r="BD29" i="2"/>
  <c r="BE22" i="3"/>
  <c r="BC22" i="3"/>
  <c r="AS24" i="4"/>
  <c r="BB24" i="4"/>
  <c r="BI24" i="4"/>
  <c r="AW24" i="4"/>
  <c r="AW22" i="3"/>
  <c r="AT29" i="2"/>
  <c r="BI22" i="3"/>
  <c r="AO24" i="4"/>
  <c r="AX24" i="4"/>
  <c r="AU22" i="3"/>
  <c r="AV24" i="4"/>
  <c r="BE24" i="4"/>
  <c r="AY29" i="2"/>
  <c r="BA24" i="4"/>
  <c r="BH24" i="4"/>
  <c r="AR24" i="4"/>
  <c r="BF24" i="4"/>
  <c r="AP24" i="4"/>
  <c r="AV29" i="2"/>
  <c r="BA29" i="2"/>
  <c r="BH29" i="2"/>
  <c r="AR29" i="2"/>
  <c r="AZ29" i="2"/>
  <c r="AO29" i="2"/>
  <c r="AT24" i="4"/>
  <c r="AZ24" i="4"/>
  <c r="BD24" i="4"/>
  <c r="AY22" i="3"/>
  <c r="AQ22" i="3"/>
  <c r="AS22" i="3"/>
  <c r="AV22" i="3"/>
  <c r="BB29" i="2"/>
  <c r="AW29" i="2"/>
  <c r="BJ29" i="2"/>
  <c r="AX29" i="2"/>
  <c r="AS29" i="2"/>
  <c r="AP29" i="2"/>
  <c r="BE29" i="2"/>
  <c r="AR22" i="3"/>
  <c r="BD22" i="3"/>
  <c r="AZ22" i="3"/>
  <c r="BF29" i="2"/>
  <c r="BI29" i="2"/>
  <c r="Q31" i="5"/>
  <c r="AU29" i="2"/>
  <c r="AN33" i="5"/>
  <c r="AK33" i="5"/>
  <c r="AM33" i="5"/>
  <c r="AJ33" i="5"/>
  <c r="AL33" i="5"/>
  <c r="AY39" i="5"/>
  <c r="AI33" i="5"/>
  <c r="AQ15" i="1"/>
  <c r="AQ11" i="5"/>
  <c r="AQ15" i="5" s="1"/>
  <c r="AU15" i="1"/>
  <c r="AU11" i="5"/>
  <c r="AU15" i="5" s="1"/>
  <c r="AY15" i="1"/>
  <c r="AY11" i="5"/>
  <c r="AY15" i="5" s="1"/>
  <c r="BC15" i="1"/>
  <c r="BC11" i="5"/>
  <c r="BC15" i="5" s="1"/>
  <c r="BE15" i="1"/>
  <c r="BE11" i="5"/>
  <c r="BE15" i="5" s="1"/>
  <c r="BG15" i="1"/>
  <c r="BG11" i="5"/>
  <c r="BG15" i="5" s="1"/>
  <c r="BI15" i="1"/>
  <c r="BI11" i="5"/>
  <c r="BI15" i="5" s="1"/>
  <c r="AU23" i="1"/>
  <c r="AU18" i="5"/>
  <c r="AU26" i="5" s="1"/>
  <c r="P30" i="1"/>
  <c r="P26" i="5"/>
  <c r="P33" i="5" s="1"/>
  <c r="R30" i="1"/>
  <c r="R26" i="5"/>
  <c r="R33" i="5" s="1"/>
  <c r="AO28" i="1"/>
  <c r="AO28" i="5"/>
  <c r="AO31" i="5" s="1"/>
  <c r="AQ28" i="1"/>
  <c r="AQ28" i="5"/>
  <c r="AQ31" i="5" s="1"/>
  <c r="AS28" i="1"/>
  <c r="AS28" i="5"/>
  <c r="AS31" i="5" s="1"/>
  <c r="AU28" i="1"/>
  <c r="AU28" i="5"/>
  <c r="AU31" i="5" s="1"/>
  <c r="AW28" i="1"/>
  <c r="AW28" i="5"/>
  <c r="AW31" i="5" s="1"/>
  <c r="AY28" i="1"/>
  <c r="AY28" i="5"/>
  <c r="AY31" i="5" s="1"/>
  <c r="BA28" i="1"/>
  <c r="BA28" i="5"/>
  <c r="BA31" i="5" s="1"/>
  <c r="BC28" i="1"/>
  <c r="BC28" i="5"/>
  <c r="BC31" i="5" s="1"/>
  <c r="BE28" i="1"/>
  <c r="BE28" i="5"/>
  <c r="BE31" i="5" s="1"/>
  <c r="BG28" i="1"/>
  <c r="BG28" i="5"/>
  <c r="BG31" i="5" s="1"/>
  <c r="BI28" i="1"/>
  <c r="BI28" i="5"/>
  <c r="BI31" i="5" s="1"/>
  <c r="AO36" i="1"/>
  <c r="AO36" i="5"/>
  <c r="AO39" i="5" s="1"/>
  <c r="AQ36" i="1"/>
  <c r="AQ36" i="5"/>
  <c r="AQ39" i="5" s="1"/>
  <c r="AS36" i="1"/>
  <c r="AS36" i="5"/>
  <c r="AS39" i="5" s="1"/>
  <c r="AU36" i="1"/>
  <c r="AU36" i="5"/>
  <c r="AU39" i="5" s="1"/>
  <c r="AW36" i="1"/>
  <c r="AW36" i="5"/>
  <c r="AW39" i="5" s="1"/>
  <c r="BA36" i="1"/>
  <c r="BA36" i="5"/>
  <c r="BA39" i="5" s="1"/>
  <c r="BC36" i="1"/>
  <c r="BC36" i="5"/>
  <c r="BC39" i="5" s="1"/>
  <c r="BE36" i="1"/>
  <c r="BE36" i="5"/>
  <c r="BE39" i="5" s="1"/>
  <c r="BG36" i="1"/>
  <c r="BG36" i="5"/>
  <c r="BG39" i="5" s="1"/>
  <c r="BI36" i="1"/>
  <c r="BI36" i="5"/>
  <c r="BI39" i="5" s="1"/>
  <c r="AO15" i="1"/>
  <c r="AO11" i="5"/>
  <c r="AO15" i="5" s="1"/>
  <c r="AS15" i="1"/>
  <c r="AS11" i="5"/>
  <c r="AS15" i="5" s="1"/>
  <c r="AW15" i="1"/>
  <c r="AW11" i="5"/>
  <c r="AW15" i="5" s="1"/>
  <c r="BA15" i="1"/>
  <c r="BA11" i="5"/>
  <c r="BA15" i="5" s="1"/>
  <c r="AP15" i="1"/>
  <c r="AP11" i="5"/>
  <c r="AP15" i="5" s="1"/>
  <c r="AR15" i="1"/>
  <c r="AR11" i="5"/>
  <c r="AR15" i="5" s="1"/>
  <c r="AT15" i="1"/>
  <c r="AT11" i="5"/>
  <c r="AT15" i="5" s="1"/>
  <c r="AV15" i="1"/>
  <c r="AV11" i="5"/>
  <c r="AV15" i="5" s="1"/>
  <c r="AX15" i="1"/>
  <c r="AX11" i="5"/>
  <c r="AX15" i="5" s="1"/>
  <c r="AZ15" i="1"/>
  <c r="AZ11" i="5"/>
  <c r="AZ15" i="5" s="1"/>
  <c r="BB15" i="1"/>
  <c r="BB11" i="5"/>
  <c r="BB15" i="5" s="1"/>
  <c r="BD15" i="1"/>
  <c r="BD11" i="5"/>
  <c r="BD15" i="5" s="1"/>
  <c r="BF15" i="1"/>
  <c r="BF11" i="5"/>
  <c r="BF15" i="5" s="1"/>
  <c r="BH15" i="1"/>
  <c r="BH11" i="5"/>
  <c r="BH15" i="5" s="1"/>
  <c r="BJ15" i="1"/>
  <c r="BJ15" i="5"/>
  <c r="AV23" i="1"/>
  <c r="AV18" i="5"/>
  <c r="AV26" i="5" s="1"/>
  <c r="O30" i="1"/>
  <c r="O26" i="5"/>
  <c r="O33" i="5" s="1"/>
  <c r="Q30" i="1"/>
  <c r="Q26" i="5"/>
  <c r="S30" i="1"/>
  <c r="S26" i="5"/>
  <c r="S33" i="5" s="1"/>
  <c r="AP28" i="1"/>
  <c r="AP28" i="5"/>
  <c r="AP31" i="5" s="1"/>
  <c r="AR28" i="1"/>
  <c r="AR28" i="5"/>
  <c r="AR31" i="5" s="1"/>
  <c r="AT28" i="1"/>
  <c r="AT28" i="5"/>
  <c r="AT31" i="5" s="1"/>
  <c r="AV28" i="1"/>
  <c r="AV28" i="5"/>
  <c r="AV31" i="5" s="1"/>
  <c r="AX28" i="1"/>
  <c r="AX28" i="5"/>
  <c r="AX31" i="5" s="1"/>
  <c r="AZ28" i="1"/>
  <c r="AZ28" i="5"/>
  <c r="AZ31" i="5" s="1"/>
  <c r="BB28" i="1"/>
  <c r="BB28" i="5"/>
  <c r="BB31" i="5" s="1"/>
  <c r="BD28" i="1"/>
  <c r="BD28" i="5"/>
  <c r="BD31" i="5" s="1"/>
  <c r="BF28" i="1"/>
  <c r="BF28" i="5"/>
  <c r="BF31" i="5" s="1"/>
  <c r="BH28" i="1"/>
  <c r="BH28" i="5"/>
  <c r="BH31" i="5" s="1"/>
  <c r="BJ28" i="1"/>
  <c r="BJ31" i="5"/>
  <c r="AP36" i="1"/>
  <c r="AP36" i="5"/>
  <c r="AP39" i="5" s="1"/>
  <c r="AR36" i="1"/>
  <c r="AR36" i="5"/>
  <c r="AR39" i="5" s="1"/>
  <c r="AT36" i="1"/>
  <c r="AT36" i="5"/>
  <c r="AT39" i="5" s="1"/>
  <c r="AV36" i="1"/>
  <c r="AV36" i="5"/>
  <c r="AV39" i="5" s="1"/>
  <c r="AX36" i="1"/>
  <c r="AX36" i="5"/>
  <c r="AX39" i="5" s="1"/>
  <c r="AZ36" i="1"/>
  <c r="AZ36" i="5"/>
  <c r="AZ39" i="5" s="1"/>
  <c r="BB36" i="1"/>
  <c r="BB36" i="5"/>
  <c r="BB39" i="5" s="1"/>
  <c r="BD36" i="1"/>
  <c r="BD36" i="5"/>
  <c r="BD39" i="5" s="1"/>
  <c r="BF36" i="1"/>
  <c r="BF36" i="5"/>
  <c r="BF39" i="5" s="1"/>
  <c r="BH36" i="1"/>
  <c r="BH36" i="5"/>
  <c r="BH39" i="5" s="1"/>
  <c r="BJ36" i="1"/>
  <c r="BJ39" i="5"/>
  <c r="BA30" i="1" l="1"/>
  <c r="AS30" i="1"/>
  <c r="AW30" i="1"/>
  <c r="AO30" i="1"/>
  <c r="Q33" i="5"/>
  <c r="AZ33" i="5"/>
  <c r="BD33" i="5"/>
  <c r="AR33" i="5"/>
  <c r="BB33" i="5"/>
  <c r="AX33" i="5"/>
  <c r="AT33" i="5"/>
  <c r="AP33" i="5"/>
  <c r="AW33" i="5"/>
  <c r="AO33" i="5"/>
  <c r="BA33" i="5"/>
  <c r="AS33" i="5"/>
  <c r="BJ33" i="5"/>
  <c r="BH33" i="5"/>
  <c r="BF33" i="5"/>
  <c r="BI33" i="5"/>
  <c r="BG33" i="5"/>
  <c r="BE33" i="5"/>
  <c r="BC33" i="5"/>
  <c r="AY33" i="5"/>
  <c r="AU33" i="5"/>
  <c r="AQ33" i="5"/>
  <c r="AV33" i="5"/>
  <c r="BJ30" i="1"/>
  <c r="BH30" i="1"/>
  <c r="BF30" i="1"/>
  <c r="BD30" i="1"/>
  <c r="BB30" i="1"/>
  <c r="AZ30" i="1"/>
  <c r="AX30" i="1"/>
  <c r="AV30" i="1"/>
  <c r="AT30" i="1"/>
  <c r="AR30" i="1"/>
  <c r="AP30" i="1"/>
  <c r="BI30" i="1"/>
  <c r="BG30" i="1"/>
  <c r="BE30" i="1"/>
  <c r="BC30" i="1"/>
  <c r="AY30" i="1"/>
  <c r="AU30" i="1"/>
  <c r="AQ30" i="1"/>
  <c r="BP30" i="4"/>
</calcChain>
</file>

<file path=xl/sharedStrings.xml><?xml version="1.0" encoding="utf-8"?>
<sst xmlns="http://schemas.openxmlformats.org/spreadsheetml/2006/main" count="501" uniqueCount="113">
  <si>
    <t>TABLE 1.21</t>
  </si>
  <si>
    <t>FALL ENROLLMENT</t>
  </si>
  <si>
    <t>UNIVERSITY OF MISSOURI-COLUMBIA</t>
  </si>
  <si>
    <t>Fall 1930</t>
  </si>
  <si>
    <t>Fall 1935</t>
  </si>
  <si>
    <t>Fall 1940</t>
  </si>
  <si>
    <t>Fall 1945</t>
  </si>
  <si>
    <t>Fall 1950</t>
  </si>
  <si>
    <t>Fall 1955</t>
  </si>
  <si>
    <t>Fall 1960</t>
  </si>
  <si>
    <t>Fall 1963</t>
  </si>
  <si>
    <t>Fall 1964</t>
  </si>
  <si>
    <t>Fall 1965</t>
  </si>
  <si>
    <t>Fall 1966</t>
  </si>
  <si>
    <t>Fall 1967</t>
  </si>
  <si>
    <t>Fall 1968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</si>
  <si>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</si>
  <si>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</si>
  <si>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</si>
  <si>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</si>
  <si>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</si>
  <si>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</si>
  <si>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</si>
  <si>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</si>
  <si>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</si>
  <si>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</si>
  <si>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</si>
  <si>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</si>
  <si>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</si>
  <si>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</si>
  <si>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</si>
  <si>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</si>
  <si>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</si>
  <si>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</si>
  <si>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</si>
  <si>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</si>
  <si>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</si>
  <si>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</si>
  <si>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</si>
  <si>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</si>
  <si>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</si>
  <si>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</si>
  <si>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</si>
  <si>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</si>
  <si>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</si>
  <si>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</si>
  <si>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</si>
  <si>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</si>
  <si>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</si>
  <si>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</si>
  <si>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</si>
  <si>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</si>
  <si>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</si>
  <si>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</si>
  <si>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</si>
  <si>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</si>
  <si>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</si>
  <si>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</si>
  <si>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</si>
  <si>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</si>
  <si>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</si>
  <si>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HEADCOUNT</t>
  </si>
  <si>
    <t>Undergraduate</t>
  </si>
  <si>
    <t>Other Degree Seeking</t>
  </si>
  <si>
    <t>Non-Degree Seeking</t>
  </si>
  <si>
    <t>Graduate (professional)</t>
  </si>
  <si>
    <t>Law (JD)</t>
  </si>
  <si>
    <t>Medicine (MD)</t>
  </si>
  <si>
    <t>Veterinary Medicine (DVM)</t>
  </si>
  <si>
    <t>Graduate (non-professional)</t>
  </si>
  <si>
    <t>Doctoral-research/scholarship</t>
  </si>
  <si>
    <t>Grand Total</t>
  </si>
  <si>
    <t>FULL-TIME EQUIVALENT</t>
  </si>
  <si>
    <t>LOCATION</t>
  </si>
  <si>
    <t>On-Campus</t>
  </si>
  <si>
    <t>Headcount</t>
  </si>
  <si>
    <t>Off-Campus</t>
  </si>
  <si>
    <t>UNIVERSITY OF MISSOURI-KANSAS CITY</t>
  </si>
  <si>
    <t>Dentistry (DDS)</t>
  </si>
  <si>
    <t>Pharmacy (PharmD)</t>
  </si>
  <si>
    <t xml:space="preserve"> </t>
  </si>
  <si>
    <t xml:space="preserve">        As the University of Kansas City</t>
  </si>
  <si>
    <t>MISSOUR UNIVERSITY OF SCIENCE AND TECHNOLOGY</t>
  </si>
  <si>
    <t>Master's</t>
  </si>
  <si>
    <t>UNIVERSITY OF MISSOURI-ST LOUIS</t>
  </si>
  <si>
    <t>Optometry (OD)</t>
  </si>
  <si>
    <t>UNIVERSITY OF MISSOURI SYSTEM</t>
  </si>
  <si>
    <t xml:space="preserve">    Includes the University of Kansas City</t>
  </si>
  <si>
    <t>Master's &amp; Education Specialists</t>
  </si>
  <si>
    <t>Source: DHE 02, Fall Enrollment Supplement</t>
  </si>
  <si>
    <t>Full-Time Equivalent</t>
  </si>
  <si>
    <t>Degree Seeking First-Time Freshmen</t>
  </si>
  <si>
    <t>Dual-Credit High School</t>
  </si>
  <si>
    <t>Fall 2014</t>
  </si>
  <si>
    <t>Fall 2015</t>
  </si>
  <si>
    <t>Fall 2016</t>
  </si>
  <si>
    <t>Fall 2017</t>
  </si>
  <si>
    <t>Fall 2018</t>
  </si>
  <si>
    <t>Occupational Therapy (OTD)</t>
  </si>
  <si>
    <t>Physical Therapy (DPT)</t>
  </si>
  <si>
    <t xml:space="preserve">           to Graduate (professional) level.</t>
  </si>
  <si>
    <t>Note: In Fall 2018, Occupational Therapy and Physical Therapy programs were reclassified from Master's</t>
  </si>
  <si>
    <t>Fall 2019</t>
  </si>
  <si>
    <t>Fall 2020</t>
  </si>
  <si>
    <t>Fall 2021</t>
  </si>
  <si>
    <t>Fall 2022</t>
  </si>
  <si>
    <t>Nursing Practice (DNP)</t>
  </si>
  <si>
    <t>Notes: In Fall 2018, Occupational Therapy and Physical Therapy programs were reclassified from Master's</t>
  </si>
  <si>
    <t xml:space="preserve">           Graduate (professional) level.</t>
  </si>
  <si>
    <t xml:space="preserve">           In Fall 2022, Nursing Practice was reclassified from Graduate (non-professional) to</t>
  </si>
  <si>
    <t xml:space="preserve">           In Fall 2022, MU's Nursing Practice was reclassified from Graduate (non-professional) to</t>
  </si>
  <si>
    <t>Fall 2023</t>
  </si>
  <si>
    <t>UM-IR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</si>
</sst>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37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7" xfId="0" applyNumberFormat="1" applyFont="1" applyBorder="1"/>
    <xf numFmtId="37" fontId="3" fillId="0" borderId="5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37" fontId="3" fillId="0" borderId="0" xfId="0" applyNumberFormat="1" applyFont="1"/>
    <xf numFmtId="0" fontId="3" fillId="0" borderId="9" xfId="0" applyFont="1" applyBorder="1"/>
    <xf numFmtId="37" fontId="3" fillId="0" borderId="8" xfId="0" applyNumberFormat="1" applyFont="1" applyBorder="1"/>
    <xf numFmtId="164" fontId="3" fillId="0" borderId="8" xfId="0" applyNumberFormat="1" applyFont="1" applyBorder="1" applyAlignment="1">
      <alignment horizontal="right"/>
    </xf>
    <xf numFmtId="0" fontId="3" fillId="0" borderId="10" xfId="0" applyFont="1" applyBorder="1"/>
    <xf numFmtId="0" fontId="3" fillId="2" borderId="0" xfId="0" applyFont="1" applyFill="1"/>
    <xf numFmtId="3" fontId="3" fillId="2" borderId="0" xfId="0" applyNumberFormat="1" applyFont="1" applyFill="1"/>
    <xf numFmtId="37" fontId="5" fillId="0" borderId="2" xfId="0" applyNumberFormat="1" applyFont="1" applyBorder="1"/>
    <xf numFmtId="0" fontId="3" fillId="3" borderId="6" xfId="0" applyFont="1" applyFill="1" applyBorder="1" applyAlignment="1">
      <alignment horizontal="right"/>
    </xf>
    <xf numFmtId="37" fontId="3" fillId="0" borderId="6" xfId="0" applyNumberFormat="1" applyFont="1" applyBorder="1" applyAlignment="1">
      <alignment horizontal="right"/>
    </xf>
    <xf numFmtId="37" fontId="3" fillId="0" borderId="6" xfId="0" applyNumberFormat="1" applyFont="1" applyBorder="1" applyAlignment="1">
      <alignment horizontal="center"/>
    </xf>
    <xf numFmtId="0" fontId="3" fillId="3" borderId="0" xfId="0" applyFont="1" applyFill="1"/>
    <xf numFmtId="37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3" fontId="3" fillId="3" borderId="0" xfId="0" applyNumberFormat="1" applyFont="1" applyFill="1"/>
    <xf numFmtId="3" fontId="3" fillId="4" borderId="0" xfId="0" applyNumberFormat="1" applyFont="1" applyFill="1"/>
    <xf numFmtId="0" fontId="3" fillId="3" borderId="8" xfId="0" applyFont="1" applyFill="1" applyBorder="1"/>
    <xf numFmtId="3" fontId="3" fillId="0" borderId="11" xfId="0" applyNumberFormat="1" applyFont="1" applyBorder="1"/>
    <xf numFmtId="0" fontId="3" fillId="5" borderId="0" xfId="0" applyFont="1" applyFill="1"/>
    <xf numFmtId="3" fontId="3" fillId="5" borderId="0" xfId="0" applyNumberFormat="1" applyFont="1" applyFill="1"/>
    <xf numFmtId="37" fontId="5" fillId="0" borderId="8" xfId="0" applyNumberFormat="1" applyFont="1" applyBorder="1"/>
    <xf numFmtId="0" fontId="3" fillId="6" borderId="0" xfId="0" applyFont="1" applyFill="1"/>
    <xf numFmtId="37" fontId="3" fillId="6" borderId="0" xfId="0" applyNumberFormat="1" applyFont="1" applyFill="1"/>
    <xf numFmtId="3" fontId="3" fillId="6" borderId="0" xfId="0" applyNumberFormat="1" applyFont="1" applyFill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3" xfId="0" applyFont="1" applyBorder="1"/>
    <xf numFmtId="3" fontId="3" fillId="3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3" borderId="8" xfId="0" applyNumberFormat="1" applyFont="1" applyFill="1" applyBorder="1"/>
    <xf numFmtId="0" fontId="3" fillId="7" borderId="0" xfId="0" applyFont="1" applyFill="1"/>
    <xf numFmtId="3" fontId="3" fillId="7" borderId="0" xfId="0" applyNumberFormat="1" applyFont="1" applyFill="1"/>
    <xf numFmtId="0" fontId="3" fillId="8" borderId="0" xfId="0" applyFont="1" applyFill="1"/>
    <xf numFmtId="3" fontId="3" fillId="8" borderId="0" xfId="0" applyNumberFormat="1" applyFont="1" applyFill="1"/>
    <xf numFmtId="0" fontId="5" fillId="2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3" fontId="1" fillId="0" borderId="0" xfId="0" applyNumberFormat="1" applyFont="1"/>
    <xf numFmtId="3" fontId="1" fillId="0" borderId="11" xfId="0" applyNumberFormat="1" applyFont="1" applyBorder="1"/>
    <xf numFmtId="3" fontId="1" fillId="0" borderId="12" xfId="0" applyNumberFormat="1" applyFont="1" applyBorder="1"/>
    <xf numFmtId="3" fontId="3" fillId="0" borderId="12" xfId="0" applyNumberFormat="1" applyFont="1" applyBorder="1"/>
    <xf numFmtId="10" fontId="1" fillId="0" borderId="0" xfId="0" applyNumberFormat="1" applyFont="1"/>
    <xf numFmtId="3" fontId="3" fillId="0" borderId="13" xfId="0" applyNumberFormat="1" applyFont="1" applyBorder="1"/>
    <xf numFmtId="165" fontId="3" fillId="0" borderId="0" xfId="0" applyNumberFormat="1" applyFont="1"/>
    <xf numFmtId="0" fontId="4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9" fillId="0" borderId="13" xfId="2" applyNumberFormat="1" applyFont="1" applyBorder="1" applyAlignment="1" applyProtection="1"/>
    <xf numFmtId="0" fontId="9" fillId="0" borderId="13" xfId="2" applyFont="1" applyBorder="1" applyAlignment="1"/>
    <xf numFmtId="0" fontId="0" fillId="0" borderId="2" xfId="0" applyBorder="1"/>
    <xf numFmtId="0" fontId="0" fillId="0" borderId="3" xfId="0" applyBorder="1"/>
    <xf numFmtId="0" fontId="7" fillId="0" borderId="2" xfId="0" applyFont="1" applyBorder="1"/>
    <xf numFmtId="0" fontId="7" fillId="0" borderId="3" xfId="0" applyFont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system.edu/ums/fa/planning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s://www.umsystem.edu/ums/fa/ir/dhe0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dhe02" TargetMode="External"/><Relationship Id="rId2" Type="http://schemas.openxmlformats.org/officeDocument/2006/relationships/hyperlink" Target="http://www.umsystem.edu/ums/fa/ir/dhe02" TargetMode="External"/><Relationship Id="rId1" Type="http://schemas.openxmlformats.org/officeDocument/2006/relationships/hyperlink" Target="http://www.umsystem.edu/ums/fa/planning/dhe02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85"/>
  <sheetViews>
    <sheetView tabSelected="1" zoomScaleNormal="100"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6" width="8.7109375" style="2" hidden="1" customWidth="1"/>
    <col min="67" max="72" width="8.7109375" style="2" customWidth="1"/>
    <col min="73" max="73" width="2.7109375" style="2" customWidth="1"/>
    <col min="74" max="16384" width="9.140625" style="1"/>
  </cols>
  <sheetData>
    <row r="1" spans="1:73" ht="13.5" customHeight="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73" ht="15" customHeigh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1"/>
    </row>
    <row r="3" spans="1:73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12"/>
    </row>
    <row r="4" spans="1:73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12"/>
    </row>
    <row r="5" spans="1:73" ht="15" customHeight="1" x14ac:dyDescent="0.25">
      <c r="A5" s="11"/>
      <c r="B5" s="8" t="s">
        <v>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2"/>
    </row>
    <row r="6" spans="1:73" ht="13.5" customHeight="1" thickBot="1" x14ac:dyDescent="0.25">
      <c r="A6" s="11"/>
      <c r="BU6" s="12"/>
    </row>
    <row r="7" spans="1:73" ht="13.5" customHeight="1" thickTop="1" x14ac:dyDescent="0.2">
      <c r="A7" s="11"/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31" t="s">
        <v>39</v>
      </c>
      <c r="AP7" s="31" t="s">
        <v>40</v>
      </c>
      <c r="AQ7" s="31" t="s">
        <v>41</v>
      </c>
      <c r="AR7" s="31" t="s">
        <v>42</v>
      </c>
      <c r="AS7" s="31" t="s">
        <v>43</v>
      </c>
      <c r="AT7" s="31" t="s">
        <v>44</v>
      </c>
      <c r="AU7" s="31" t="s">
        <v>45</v>
      </c>
      <c r="AV7" s="31" t="s">
        <v>46</v>
      </c>
      <c r="AW7" s="31" t="s">
        <v>47</v>
      </c>
      <c r="AX7" s="31" t="s">
        <v>48</v>
      </c>
      <c r="AY7" s="31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2"/>
    </row>
    <row r="8" spans="1:73" ht="13.5" customHeight="1" x14ac:dyDescent="0.2">
      <c r="A8" s="11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51"/>
      <c r="AU8" s="51"/>
      <c r="AV8" s="51"/>
      <c r="AW8" s="51"/>
      <c r="AX8" s="51"/>
      <c r="AY8" s="51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2"/>
    </row>
    <row r="9" spans="1:73" ht="13.5" customHeight="1" x14ac:dyDescent="0.2">
      <c r="A9" s="11"/>
      <c r="B9" s="58" t="s">
        <v>61</v>
      </c>
      <c r="C9" s="55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12"/>
    </row>
    <row r="10" spans="1:73" ht="13.5" customHeight="1" x14ac:dyDescent="0.2">
      <c r="A10" s="11"/>
      <c r="C10" s="4" t="s">
        <v>62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2"/>
    </row>
    <row r="11" spans="1:73" ht="13.5" customHeight="1" x14ac:dyDescent="0.2">
      <c r="A11" s="11"/>
      <c r="D11" s="2" t="s">
        <v>91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f>MU!P11+UMKC!P11+'S&amp;T'!P11+UMSL!P11</f>
        <v>7464</v>
      </c>
      <c r="Q11" s="17">
        <f>MU!Q11+UMKC!Q11+'S&amp;T'!Q11+UMSL!Q11</f>
        <v>7670</v>
      </c>
      <c r="R11" s="17">
        <f>MU!R11+UMKC!R11+'S&amp;T'!R11+UMSL!R11</f>
        <v>8053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f>MU!AG11+UMKC!AG11+'S&amp;T'!AG11+UMSL!AG11</f>
        <v>6466</v>
      </c>
      <c r="AH11" s="17">
        <f>MU!AH11+UMKC!AH11+'S&amp;T'!AH11+UMSL!AH11</f>
        <v>6299</v>
      </c>
      <c r="AI11" s="17">
        <f>MU!AI11+UMKC!AI11+'S&amp;T'!AI11+UMSL!AI11</f>
        <v>5971</v>
      </c>
      <c r="AJ11" s="17">
        <f>MU!AJ11+UMKC!AJ11+'S&amp;T'!AJ11+UMSL!AJ11</f>
        <v>6303</v>
      </c>
      <c r="AK11" s="17">
        <f>MU!AK11+UMKC!AK11+'S&amp;T'!AK11+UMSL!AK11</f>
        <v>6574</v>
      </c>
      <c r="AL11" s="17">
        <f>MU!AL11+UMKC!AL11+'S&amp;T'!AL11+UMSL!AL11</f>
        <v>6489</v>
      </c>
      <c r="AM11" s="17">
        <f>MU!AM11+UMKC!AM11+'S&amp;T'!AM11+UMSL!AM11</f>
        <v>6174</v>
      </c>
      <c r="AN11" s="17">
        <f>MU!AN11+UMKC!AN11+'S&amp;T'!AN11+UMSL!AN11</f>
        <v>5429</v>
      </c>
      <c r="AO11" s="17">
        <f>MU!AO11+UMKC!AO11+'S&amp;T'!AO11+UMSL!AO11</f>
        <v>4809</v>
      </c>
      <c r="AP11" s="17">
        <f>MU!AP11+UMKC!AP11+'S&amp;T'!AP11+UMSL!AP11</f>
        <v>4847</v>
      </c>
      <c r="AQ11" s="17">
        <f>MU!AQ11+UMKC!AQ11+'S&amp;T'!AQ11+UMSL!AQ11</f>
        <v>5635</v>
      </c>
      <c r="AR11" s="17">
        <f>MU!AR11+UMKC!AR11+'S&amp;T'!AR11+UMSL!AR11</f>
        <v>5981</v>
      </c>
      <c r="AS11" s="17">
        <f>MU!AS11+UMKC!AS11+'S&amp;T'!AS11+UMSL!AS11</f>
        <v>5891</v>
      </c>
      <c r="AT11" s="17">
        <f>MU!AT11+UMKC!AT11+'S&amp;T'!AT11+UMSL!AT11</f>
        <v>5572</v>
      </c>
      <c r="AU11" s="17">
        <f>MU!AU11+UMKC!AU11+'S&amp;T'!AU11+UMSL!AU11</f>
        <v>5930</v>
      </c>
      <c r="AV11" s="17">
        <f>MU!AV11+UMKC!AV11+'S&amp;T'!AV11+UMSL!AV11</f>
        <v>5963</v>
      </c>
      <c r="AW11" s="17">
        <f>MU!AW11+UMKC!AW11+'S&amp;T'!AW11+UMSL!AW11</f>
        <v>6234</v>
      </c>
      <c r="AX11" s="17">
        <f>MU!AX11+UMKC!AX11+'S&amp;T'!AX11+UMSL!AX11</f>
        <v>6276</v>
      </c>
      <c r="AY11" s="17">
        <f>MU!AY11+UMKC!AY11+'S&amp;T'!AY11+UMSL!AY11</f>
        <v>6533</v>
      </c>
      <c r="AZ11" s="17">
        <f>MU!AZ11+UMKC!AZ11+'S&amp;T'!AZ11+UMSL!AZ11</f>
        <v>6869</v>
      </c>
      <c r="BA11" s="17">
        <f>MU!BA11+UMKC!BA11+'S&amp;T'!BA11+UMSL!BA11</f>
        <v>6880</v>
      </c>
      <c r="BB11" s="17">
        <f>MU!BB11+UMKC!BB11+'S&amp;T'!BB11+UMSL!BB11</f>
        <v>7172</v>
      </c>
      <c r="BC11" s="17">
        <f>MU!BC11+UMKC!BC11+'S&amp;T'!BC11+UMSL!BC11</f>
        <v>7279</v>
      </c>
      <c r="BD11" s="17">
        <f>MU!BD11+UMKC!BD11+'S&amp;T'!BD11+UMSL!BD11</f>
        <v>7480</v>
      </c>
      <c r="BE11" s="17">
        <f>MU!BE11+UMKC!BE11+'S&amp;T'!BE11+UMSL!BE11</f>
        <v>8303</v>
      </c>
      <c r="BF11" s="17">
        <f>MU!BF11+UMKC!BF11+'S&amp;T'!BF11+UMSL!BF11</f>
        <v>8226</v>
      </c>
      <c r="BG11" s="17">
        <f>MU!BG11+UMKC!BG11+'S&amp;T'!BG11+UMSL!BG11</f>
        <v>8880</v>
      </c>
      <c r="BH11" s="17">
        <f>MU!BH11+UMKC!BH11+'S&amp;T'!BH11+UMSL!BH11</f>
        <v>8897</v>
      </c>
      <c r="BI11" s="17">
        <f>MU!BI11+UMKC!BI11+'S&amp;T'!BI11+UMSL!BI11</f>
        <v>9296</v>
      </c>
      <c r="BJ11" s="17">
        <f>MU!BJ11+UMKC!BJ11+'S&amp;T'!BJ11+UMSL!BJ11</f>
        <v>9016</v>
      </c>
      <c r="BK11" s="17">
        <f>MU!BK11+UMKC!BK11+'S&amp;T'!BK11+UMSL!BK11</f>
        <v>9389</v>
      </c>
      <c r="BL11" s="17">
        <f>MU!BL11+UMKC!BL11+'S&amp;T'!BL11+UMSL!BL11</f>
        <v>9243</v>
      </c>
      <c r="BM11" s="17">
        <f>MU!BM11+UMKC!BM11+'S&amp;T'!BM11+UMSL!BM11</f>
        <v>7902</v>
      </c>
      <c r="BN11" s="17">
        <f>MU!BN11+UMKC!BN11+'S&amp;T'!BN11+UMSL!BN11</f>
        <v>7286</v>
      </c>
      <c r="BO11" s="17">
        <f>MU!BO11+UMKC!BO11+'S&amp;T'!BO11+UMSL!BO11</f>
        <v>7680</v>
      </c>
      <c r="BP11" s="17">
        <f>MU!BP11+UMKC!BP11+'S&amp;T'!BP11+UMSL!BP11</f>
        <v>8220</v>
      </c>
      <c r="BQ11" s="17">
        <f>MU!BQ11+UMKC!BQ11+'S&amp;T'!BQ11+UMSL!BQ11</f>
        <v>7902</v>
      </c>
      <c r="BR11" s="17">
        <f>MU!BR11+UMKC!BR11+'S&amp;T'!BR11+UMSL!BR11</f>
        <v>7475</v>
      </c>
      <c r="BS11" s="17">
        <f>MU!BS11+UMKC!BS11+'S&amp;T'!BS11+UMSL!BS11</f>
        <v>7737</v>
      </c>
      <c r="BT11" s="17">
        <f>MU!BT11+UMKC!BT11+'S&amp;T'!BT11+UMSL!BT11</f>
        <v>8088</v>
      </c>
      <c r="BU11" s="12"/>
    </row>
    <row r="12" spans="1:73" ht="13.5" customHeight="1" x14ac:dyDescent="0.2">
      <c r="A12" s="11"/>
      <c r="D12" s="2" t="s">
        <v>63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f>MU!AG12+UMKC!AG12+'S&amp;T'!AG12+UMSL!AG12</f>
        <v>32665</v>
      </c>
      <c r="AH12" s="17">
        <f>MU!AH12+UMKC!AH12+'S&amp;T'!AH12+UMSL!AH12</f>
        <v>31644</v>
      </c>
      <c r="AI12" s="17">
        <f>MU!AI12+UMKC!AI12+'S&amp;T'!AI12+UMSL!AI12</f>
        <v>31655</v>
      </c>
      <c r="AJ12" s="17">
        <f>MU!AJ12+UMKC!AJ12+'S&amp;T'!AJ12+UMSL!AJ12</f>
        <v>31062</v>
      </c>
      <c r="AK12" s="17">
        <f>MU!AK12+UMKC!AK12+'S&amp;T'!AK12+UMSL!AK12</f>
        <v>31136</v>
      </c>
      <c r="AL12" s="17">
        <f>MU!AL12+UMKC!AL12+'S&amp;T'!AL12+UMSL!AL12</f>
        <v>32083</v>
      </c>
      <c r="AM12" s="17"/>
      <c r="AN12" s="17"/>
      <c r="AO12" s="17">
        <f>MU!AO12+UMKC!AO12+'S&amp;T'!AO12+UMSL!AO12</f>
        <v>31160</v>
      </c>
      <c r="AP12" s="17">
        <f>MU!AP12+UMKC!AP12+'S&amp;T'!AP12+UMSL!AP12</f>
        <v>29562</v>
      </c>
      <c r="AQ12" s="17">
        <f>MU!AQ12+UMKC!AQ12+'S&amp;T'!AQ12+UMSL!AQ12</f>
        <v>28755</v>
      </c>
      <c r="AR12" s="17">
        <f>MU!AR12+UMKC!AR12+'S&amp;T'!AR12+UMSL!AR12</f>
        <v>29023</v>
      </c>
      <c r="AS12" s="17">
        <f>MU!AS12+UMKC!AS12+'S&amp;T'!AS12+UMSL!AS12</f>
        <v>29576</v>
      </c>
      <c r="AT12" s="17">
        <f>MU!AT12+UMKC!AT12+'S&amp;T'!AT12+UMSL!AT12</f>
        <v>29918</v>
      </c>
      <c r="AU12" s="17">
        <f>MU!AU12+UMKC!AU12+'S&amp;T'!AU12+UMSL!AU12</f>
        <v>30111</v>
      </c>
      <c r="AV12" s="17">
        <f>MU!AV12+UMKC!AV12+'S&amp;T'!AV12+UMSL!AV12</f>
        <v>29883</v>
      </c>
      <c r="AW12" s="17">
        <f>MU!AW12+UMKC!AW12+'S&amp;T'!AW12+UMSL!AW12</f>
        <v>29702</v>
      </c>
      <c r="AX12" s="17">
        <f>MU!AX12+UMKC!AX12+'S&amp;T'!AX12+UMSL!AX12</f>
        <v>30563</v>
      </c>
      <c r="AY12" s="17">
        <f>MU!AY12+UMKC!AY12+'S&amp;T'!AY12+UMSL!AY12</f>
        <v>31833</v>
      </c>
      <c r="AZ12" s="17">
        <f>MU!AZ12+UMKC!AZ12+'S&amp;T'!AZ12+UMSL!AZ12</f>
        <v>32692</v>
      </c>
      <c r="BA12" s="17">
        <f>MU!BA12+UMKC!BA12+'S&amp;T'!BA12+UMSL!BA12</f>
        <v>33376</v>
      </c>
      <c r="BB12" s="17">
        <f>MU!BB12+UMKC!BB12+'S&amp;T'!BB12+UMSL!BB12</f>
        <v>34279</v>
      </c>
      <c r="BC12" s="17">
        <f>MU!BC12+UMKC!BC12+'S&amp;T'!BC12+UMSL!BC12</f>
        <v>34329</v>
      </c>
      <c r="BD12" s="17">
        <f>MU!BD12+UMKC!BD12+'S&amp;T'!BD12+UMSL!BD12</f>
        <v>34532</v>
      </c>
      <c r="BE12" s="17">
        <f>MU!BE12+UMKC!BE12+'S&amp;T'!BE12+UMSL!BE12</f>
        <v>35249</v>
      </c>
      <c r="BF12" s="17">
        <f>MU!BF12+UMKC!BF12+'S&amp;T'!BF12+UMSL!BF12</f>
        <v>37097</v>
      </c>
      <c r="BG12" s="17">
        <f>MU!BG12+UMKC!BG12+'S&amp;T'!BG12+UMSL!BG12</f>
        <v>38437</v>
      </c>
      <c r="BH12" s="17">
        <f>MU!BH12+UMKC!BH12+'S&amp;T'!BH12+UMSL!BH12</f>
        <v>39883</v>
      </c>
      <c r="BI12" s="17">
        <f>MU!BI12+UMKC!BI12+'S&amp;T'!BI12+UMSL!BI12</f>
        <v>40473</v>
      </c>
      <c r="BJ12" s="17">
        <f>MU!BJ12+UMKC!BJ12+'S&amp;T'!BJ12+UMSL!BJ12</f>
        <v>40870</v>
      </c>
      <c r="BK12" s="17">
        <f>MU!BK12+UMKC!BK12+'S&amp;T'!BK12+UMSL!BK12</f>
        <v>41368</v>
      </c>
      <c r="BL12" s="17">
        <f>MU!BL12+UMKC!BL12+'S&amp;T'!BL12+UMSL!BL12</f>
        <v>41149</v>
      </c>
      <c r="BM12" s="17">
        <f>MU!BM12+UMKC!BM12+'S&amp;T'!BM12+UMSL!BM12</f>
        <v>40139</v>
      </c>
      <c r="BN12" s="17">
        <f>MU!BN12+UMKC!BN12+'S&amp;T'!BN12+UMSL!BN12</f>
        <v>38257</v>
      </c>
      <c r="BO12" s="17">
        <f>MU!BO12+UMKC!BO12+'S&amp;T'!BO12+UMSL!BO12</f>
        <v>35952</v>
      </c>
      <c r="BP12" s="17">
        <f>MU!BP12+UMKC!BP12+'S&amp;T'!BP12+UMSL!BP12</f>
        <v>34237</v>
      </c>
      <c r="BQ12" s="17">
        <f>MU!BQ12+UMKC!BQ12+'S&amp;T'!BQ12+UMSL!BQ12</f>
        <v>34234</v>
      </c>
      <c r="BR12" s="17">
        <f>MU!BR12+UMKC!BR12+'S&amp;T'!BR12+UMSL!BR12</f>
        <v>33765</v>
      </c>
      <c r="BS12" s="17">
        <f>MU!BS12+UMKC!BS12+'S&amp;T'!BS12+UMSL!BS12</f>
        <v>32779</v>
      </c>
      <c r="BT12" s="17">
        <f>MU!BT12+UMKC!BT12+'S&amp;T'!BT12+UMSL!BT12</f>
        <v>32223</v>
      </c>
      <c r="BU12" s="12"/>
    </row>
    <row r="13" spans="1:73" ht="13.5" customHeight="1" x14ac:dyDescent="0.2">
      <c r="A13" s="11"/>
      <c r="D13" s="2" t="s">
        <v>92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f>MU!AO13+UMKC!AO13+'S&amp;T'!AO13+UMSL!AO13</f>
        <v>2866</v>
      </c>
      <c r="AP13" s="17">
        <f>MU!AP13+UMKC!AP13+'S&amp;T'!AP13+UMSL!AP13</f>
        <v>3384</v>
      </c>
      <c r="AQ13" s="17">
        <f>MU!AQ13+UMKC!AQ13+'S&amp;T'!AQ13+UMSL!AQ13</f>
        <v>3291</v>
      </c>
      <c r="AR13" s="17">
        <f>MU!AR13+UMKC!AR13+'S&amp;T'!AR13+UMSL!AR13</f>
        <v>3521</v>
      </c>
      <c r="AS13" s="17">
        <f>MU!AS13+UMKC!AS13+'S&amp;T'!AS13+UMSL!AS13</f>
        <v>3859</v>
      </c>
      <c r="AT13" s="17">
        <f>MU!AT13+UMKC!AT13+'S&amp;T'!AT13+UMSL!AT13</f>
        <v>3773</v>
      </c>
      <c r="AU13" s="17">
        <f>MU!AU13+UMKC!AU13+'S&amp;T'!AU13+UMSL!AU13</f>
        <v>3930</v>
      </c>
      <c r="AV13" s="17">
        <f>MU!AV13+UMKC!AV13+'S&amp;T'!AV13+UMSL!AV13</f>
        <v>4280</v>
      </c>
      <c r="AW13" s="17">
        <f>MU!AW13+UMKC!AW13+'S&amp;T'!AW13+UMSL!AW13</f>
        <v>5331</v>
      </c>
      <c r="AX13" s="17">
        <f>MU!AX13+UMKC!AX13+'S&amp;T'!AX13+UMSL!AX13</f>
        <v>4744</v>
      </c>
      <c r="AY13" s="17">
        <f>MU!AY13+UMKC!AY13+'S&amp;T'!AY13+UMSL!AY13</f>
        <v>5455</v>
      </c>
      <c r="AZ13" s="17">
        <f>MU!AZ13+UMKC!AZ13+'S&amp;T'!AZ13+UMSL!AZ13</f>
        <v>5618</v>
      </c>
      <c r="BA13" s="17">
        <f>MU!BA13+UMKC!BA13+'S&amp;T'!BA13+UMSL!BA13</f>
        <v>5723</v>
      </c>
      <c r="BB13" s="17">
        <f>MU!BB13+UMKC!BB13+'S&amp;T'!BB13+UMSL!BB13</f>
        <v>5352</v>
      </c>
      <c r="BC13" s="17">
        <f>MU!BC13+UMKC!BC13+'S&amp;T'!BC13+UMSL!BC13</f>
        <v>5340</v>
      </c>
      <c r="BD13" s="17">
        <f>MU!BD13+UMKC!BD13+'S&amp;T'!BD13+UMSL!BD13</f>
        <v>5066</v>
      </c>
      <c r="BE13" s="17">
        <f>MU!BE13+UMKC!BE13+'S&amp;T'!BE13+UMSL!BE13</f>
        <v>4609</v>
      </c>
      <c r="BF13" s="17">
        <f>MU!BF13+UMKC!BF13+'S&amp;T'!BF13+UMSL!BF13</f>
        <v>4991</v>
      </c>
      <c r="BG13" s="17">
        <f>MU!BG13+UMKC!BG13+'S&amp;T'!BG13+UMSL!BG13</f>
        <v>5069</v>
      </c>
      <c r="BH13" s="17">
        <f>MU!BH13+UMKC!BH13+'S&amp;T'!BH13+UMSL!BH13</f>
        <v>5061</v>
      </c>
      <c r="BI13" s="17">
        <f>MU!BI13+UMKC!BI13+'S&amp;T'!BI13+UMSL!BI13</f>
        <v>5834</v>
      </c>
      <c r="BJ13" s="17">
        <f>MU!BJ13+UMKC!BJ13+'S&amp;T'!BJ13+UMSL!BJ13</f>
        <v>5799</v>
      </c>
      <c r="BK13" s="17">
        <f>MU!BK13+UMKC!BK13+'S&amp;T'!BK13+UMSL!BK13</f>
        <v>6389</v>
      </c>
      <c r="BL13" s="17">
        <f>MU!BL13+UMKC!BL13+'S&amp;T'!BL13+UMSL!BL13</f>
        <v>7769</v>
      </c>
      <c r="BM13" s="17">
        <f>MU!BM13+UMKC!BM13+'S&amp;T'!BM13+UMSL!BM13</f>
        <v>9263</v>
      </c>
      <c r="BN13" s="17">
        <f>MU!BN13+UMKC!BN13+'S&amp;T'!BN13+UMSL!BN13</f>
        <v>9343</v>
      </c>
      <c r="BO13" s="17">
        <f>MU!BO13+UMKC!BO13+'S&amp;T'!BO13+UMSL!BO13</f>
        <v>9348</v>
      </c>
      <c r="BP13" s="17">
        <f>MU!BP13+UMKC!BP13+'S&amp;T'!BP13+UMSL!BP13</f>
        <v>9604</v>
      </c>
      <c r="BQ13" s="17">
        <f>MU!BQ13+UMKC!BQ13+'S&amp;T'!BQ13+UMSL!BQ13</f>
        <v>7954</v>
      </c>
      <c r="BR13" s="17">
        <f>MU!BR13+UMKC!BR13+'S&amp;T'!BR13+UMSL!BR13</f>
        <v>10092</v>
      </c>
      <c r="BS13" s="17">
        <f>MU!BS13+UMKC!BS13+'S&amp;T'!BS13+UMSL!BS13</f>
        <v>10302</v>
      </c>
      <c r="BT13" s="17">
        <f>MU!BT13+UMKC!BT13+'S&amp;T'!BT13+UMSL!BT13</f>
        <v>10120</v>
      </c>
      <c r="BU13" s="12"/>
    </row>
    <row r="14" spans="1:73" ht="13.5" customHeight="1" x14ac:dyDescent="0.2">
      <c r="A14" s="11"/>
      <c r="D14" s="2" t="s">
        <v>64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>
        <f>MU!AG14+UMKC!AG14+'S&amp;T'!AG14+UMSL!AG14</f>
        <v>1009</v>
      </c>
      <c r="AH14" s="39">
        <f>MU!AH14+UMKC!AH14+'S&amp;T'!AH14+UMSL!AH14</f>
        <v>1036</v>
      </c>
      <c r="AI14" s="39">
        <f>MU!AI14+UMKC!AI14+'S&amp;T'!AI14+UMSL!AI14</f>
        <v>1607</v>
      </c>
      <c r="AJ14" s="39">
        <f>MU!AJ14+UMKC!AJ14+'S&amp;T'!AJ14+UMSL!AJ14</f>
        <v>2072</v>
      </c>
      <c r="AK14" s="39">
        <f>MU!AK14+UMKC!AK14+'S&amp;T'!AK14+UMSL!AK14</f>
        <v>2758</v>
      </c>
      <c r="AL14" s="39">
        <f>MU!AL14+UMKC!AL14+'S&amp;T'!AL14+UMSL!AL14</f>
        <v>2757</v>
      </c>
      <c r="AM14" s="39"/>
      <c r="AN14" s="39"/>
      <c r="AO14" s="39">
        <f>MU!AO14+UMKC!AO14+'S&amp;T'!AO14+UMSL!AO14</f>
        <v>1127</v>
      </c>
      <c r="AP14" s="39">
        <f>MU!AP14+UMKC!AP14+'S&amp;T'!AP14+UMSL!AP14</f>
        <v>1121</v>
      </c>
      <c r="AQ14" s="39">
        <f>MU!AQ14+UMKC!AQ14+'S&amp;T'!AQ14+UMSL!AQ14</f>
        <v>1251</v>
      </c>
      <c r="AR14" s="39">
        <f>MU!AR14+UMKC!AR14+'S&amp;T'!AR14+UMSL!AR14</f>
        <v>1094</v>
      </c>
      <c r="AS14" s="39">
        <f>MU!AS14+UMKC!AS14+'S&amp;T'!AS14+UMSL!AS14</f>
        <v>1043</v>
      </c>
      <c r="AT14" s="39">
        <f>MU!AT14+UMKC!AT14+'S&amp;T'!AT14+UMSL!AT14</f>
        <v>958</v>
      </c>
      <c r="AU14" s="39">
        <f>MU!AU14+UMKC!AU14+'S&amp;T'!AU14+UMSL!AU14</f>
        <v>1081</v>
      </c>
      <c r="AV14" s="39">
        <f>MU!AV14+UMKC!AV14+'S&amp;T'!AV14+UMSL!AV14</f>
        <v>1343</v>
      </c>
      <c r="AW14" s="39">
        <f>MU!AW14+UMKC!AW14+'S&amp;T'!AW14+UMSL!AW14</f>
        <v>1317</v>
      </c>
      <c r="AX14" s="39">
        <f>MU!AX14+UMKC!AX14+'S&amp;T'!AX14+UMSL!AX14</f>
        <v>1154</v>
      </c>
      <c r="AY14" s="39">
        <f>MU!AY14+UMKC!AY14+'S&amp;T'!AY14+UMSL!AY14</f>
        <v>1311</v>
      </c>
      <c r="AZ14" s="39">
        <f>MU!AZ14+UMKC!AZ14+'S&amp;T'!AZ14+UMSL!AZ14</f>
        <v>1142</v>
      </c>
      <c r="BA14" s="39">
        <f>MU!BA14+UMKC!BA14+'S&amp;T'!BA14+UMSL!BA14</f>
        <v>988</v>
      </c>
      <c r="BB14" s="39">
        <f>MU!BB14+UMKC!BB14+'S&amp;T'!BB14+UMSL!BB14</f>
        <v>936</v>
      </c>
      <c r="BC14" s="39">
        <f>MU!BC14+UMKC!BC14+'S&amp;T'!BC14+UMSL!BC14</f>
        <v>893</v>
      </c>
      <c r="BD14" s="39">
        <f>MU!BD14+UMKC!BD14+'S&amp;T'!BD14+UMSL!BD14</f>
        <v>786</v>
      </c>
      <c r="BE14" s="39">
        <f>MU!BE14+UMKC!BE14+'S&amp;T'!BE14+UMSL!BE14</f>
        <v>1349</v>
      </c>
      <c r="BF14" s="39">
        <f>MU!BF14+UMKC!BF14+'S&amp;T'!BF14+UMSL!BF14</f>
        <v>1038</v>
      </c>
      <c r="BG14" s="39">
        <f>MU!BG14+UMKC!BG14+'S&amp;T'!BG14+UMSL!BG14</f>
        <v>972</v>
      </c>
      <c r="BH14" s="39">
        <f>MU!BH14+UMKC!BH14+'S&amp;T'!BH14+UMSL!BH14</f>
        <v>1095</v>
      </c>
      <c r="BI14" s="39">
        <f>MU!BI14+UMKC!BI14+'S&amp;T'!BI14+UMSL!BI14</f>
        <v>1147</v>
      </c>
      <c r="BJ14" s="67">
        <f>MU!BJ14+UMKC!BJ14+'S&amp;T'!BJ14+UMSL!BJ14</f>
        <v>1184</v>
      </c>
      <c r="BK14" s="39">
        <f>MU!BK14+UMKC!BK14+'S&amp;T'!BK14+UMSL!BK14</f>
        <v>1343</v>
      </c>
      <c r="BL14" s="39">
        <f>MU!BL14+UMKC!BL14+'S&amp;T'!BL14+UMSL!BL14</f>
        <v>1257</v>
      </c>
      <c r="BM14" s="39">
        <f>MU!BM14+UMKC!BM14+'S&amp;T'!BM14+UMSL!BM14</f>
        <v>1081</v>
      </c>
      <c r="BN14" s="39">
        <f>MU!BN14+UMKC!BN14+'S&amp;T'!BN14+UMSL!BN14</f>
        <v>991</v>
      </c>
      <c r="BO14" s="39">
        <f>MU!BO14+UMKC!BO14+'S&amp;T'!BO14+UMSL!BO14</f>
        <v>1126</v>
      </c>
      <c r="BP14" s="39">
        <f>MU!BP14+UMKC!BP14+'S&amp;T'!BP14+UMSL!BP14</f>
        <v>1309</v>
      </c>
      <c r="BQ14" s="39">
        <f>MU!BQ14+UMKC!BQ14+'S&amp;T'!BQ14+UMSL!BQ14</f>
        <v>1376</v>
      </c>
      <c r="BR14" s="39">
        <f>MU!BR14+UMKC!BR14+'S&amp;T'!BR14+UMSL!BR14</f>
        <v>1105</v>
      </c>
      <c r="BS14" s="39">
        <f>MU!BS14+UMKC!BS14+'S&amp;T'!BS14+UMSL!BS14</f>
        <v>1019</v>
      </c>
      <c r="BT14" s="39">
        <f>MU!BT14+UMKC!BT14+'S&amp;T'!BT14+UMSL!BT14</f>
        <v>978</v>
      </c>
      <c r="BU14" s="12"/>
    </row>
    <row r="15" spans="1:73" ht="13.5" customHeight="1" x14ac:dyDescent="0.2">
      <c r="A15" s="1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f>MU!O15+UMKC!O15+'S&amp;T'!O15+UMSL!O15</f>
        <v>29783</v>
      </c>
      <c r="P15" s="17">
        <f>MU!P15+UMKC!P15+'S&amp;T'!P15+UMSL!P15</f>
        <v>32217</v>
      </c>
      <c r="Q15" s="17">
        <f>MU!Q15+UMKC!Q15+'S&amp;T'!Q15+UMSL!Q15</f>
        <v>33897</v>
      </c>
      <c r="R15" s="17">
        <f>MU!R15+UMKC!R15+'S&amp;T'!R15+UMSL!R15</f>
        <v>36210</v>
      </c>
      <c r="S15" s="17">
        <f>MU!S15+UMKC!S15+'S&amp;T'!S15+UMSL!S15</f>
        <v>36250</v>
      </c>
      <c r="T15" s="17"/>
      <c r="U15" s="17">
        <f>MU!U15+UMKC!U15+'S&amp;T'!U15+UMSL!U15</f>
        <v>36707</v>
      </c>
      <c r="V15" s="17"/>
      <c r="W15" s="17">
        <f>MU!W15+UMKC!W15+'S&amp;T'!W15+UMSL!W15</f>
        <v>38152</v>
      </c>
      <c r="X15" s="17"/>
      <c r="Y15" s="17">
        <f>MU!Y15+UMKC!Y15+'S&amp;T'!Y15+UMSL!Y15</f>
        <v>38856</v>
      </c>
      <c r="Z15" s="17"/>
      <c r="AA15" s="17">
        <f>MU!AA15+UMKC!AA15+'S&amp;T'!AA15+UMSL!AA15</f>
        <v>37722</v>
      </c>
      <c r="AB15" s="17">
        <f>MU!AB15+UMKC!AB15+'S&amp;T'!AB15+UMSL!AB15</f>
        <v>38816</v>
      </c>
      <c r="AC15" s="17">
        <f>MU!AC15+UMKC!AC15+'S&amp;T'!AC15+UMSL!AC15</f>
        <v>40806</v>
      </c>
      <c r="AD15" s="17">
        <f>MU!AD15+UMKC!AD15+'S&amp;T'!AD15+UMSL!AD15</f>
        <v>42941</v>
      </c>
      <c r="AE15" s="17">
        <f>MU!AE15+UMKC!AE15+'S&amp;T'!AE15+UMSL!AE15</f>
        <v>42576</v>
      </c>
      <c r="AF15" s="17">
        <f>MU!AF15+UMKC!AF15+'S&amp;T'!AF15+UMSL!AF15</f>
        <v>41568</v>
      </c>
      <c r="AG15" s="17">
        <f t="shared" ref="AG15:AL15" si="0">SUM(AG11:AG14)</f>
        <v>40140</v>
      </c>
      <c r="AH15" s="17">
        <f t="shared" si="0"/>
        <v>38979</v>
      </c>
      <c r="AI15" s="17">
        <f t="shared" si="0"/>
        <v>39233</v>
      </c>
      <c r="AJ15" s="17">
        <f t="shared" si="0"/>
        <v>39437</v>
      </c>
      <c r="AK15" s="17">
        <f t="shared" si="0"/>
        <v>40468</v>
      </c>
      <c r="AL15" s="17">
        <f t="shared" si="0"/>
        <v>41329</v>
      </c>
      <c r="AM15" s="17">
        <f>MU!AM15+UMKC!AM15+'S&amp;T'!AM15+UMSL!AM15</f>
        <v>42270</v>
      </c>
      <c r="AN15" s="17">
        <f>MU!AN15+UMKC!AN15+'S&amp;T'!AN15+UMSL!AN15</f>
        <v>41903</v>
      </c>
      <c r="AO15" s="17">
        <f t="shared" ref="AO15:BC15" si="1">SUM(AO11:AO14)</f>
        <v>39962</v>
      </c>
      <c r="AP15" s="17">
        <f t="shared" si="1"/>
        <v>38914</v>
      </c>
      <c r="AQ15" s="17">
        <f t="shared" si="1"/>
        <v>38932</v>
      </c>
      <c r="AR15" s="17">
        <f t="shared" si="1"/>
        <v>39619</v>
      </c>
      <c r="AS15" s="17">
        <f t="shared" si="1"/>
        <v>40369</v>
      </c>
      <c r="AT15" s="17">
        <f t="shared" si="1"/>
        <v>40221</v>
      </c>
      <c r="AU15" s="17">
        <f t="shared" si="1"/>
        <v>41052</v>
      </c>
      <c r="AV15" s="17">
        <f t="shared" si="1"/>
        <v>41469</v>
      </c>
      <c r="AW15" s="17">
        <f t="shared" si="1"/>
        <v>42584</v>
      </c>
      <c r="AX15" s="17">
        <f t="shared" si="1"/>
        <v>42737</v>
      </c>
      <c r="AY15" s="17">
        <f t="shared" si="1"/>
        <v>45132</v>
      </c>
      <c r="AZ15" s="17">
        <f t="shared" si="1"/>
        <v>46321</v>
      </c>
      <c r="BA15" s="17">
        <f t="shared" si="1"/>
        <v>46967</v>
      </c>
      <c r="BB15" s="17">
        <f t="shared" si="1"/>
        <v>47739</v>
      </c>
      <c r="BC15" s="17">
        <f t="shared" si="1"/>
        <v>47841</v>
      </c>
      <c r="BD15" s="17">
        <f t="shared" ref="BD15:BI15" si="2">SUM(BD11:BD14)</f>
        <v>47864</v>
      </c>
      <c r="BE15" s="17">
        <f t="shared" si="2"/>
        <v>49510</v>
      </c>
      <c r="BF15" s="17">
        <f t="shared" si="2"/>
        <v>51352</v>
      </c>
      <c r="BG15" s="17">
        <f t="shared" si="2"/>
        <v>53358</v>
      </c>
      <c r="BH15" s="17">
        <f t="shared" si="2"/>
        <v>54936</v>
      </c>
      <c r="BI15" s="17">
        <f t="shared" si="2"/>
        <v>56750</v>
      </c>
      <c r="BJ15" s="17">
        <f t="shared" ref="BJ15:BO15" si="3">SUM(BJ11:BJ14)</f>
        <v>56869</v>
      </c>
      <c r="BK15" s="17">
        <f t="shared" si="3"/>
        <v>58489</v>
      </c>
      <c r="BL15" s="17">
        <f t="shared" si="3"/>
        <v>59418</v>
      </c>
      <c r="BM15" s="17">
        <f t="shared" si="3"/>
        <v>58385</v>
      </c>
      <c r="BN15" s="17">
        <f t="shared" si="3"/>
        <v>55877</v>
      </c>
      <c r="BO15" s="17">
        <f t="shared" si="3"/>
        <v>54106</v>
      </c>
      <c r="BP15" s="17">
        <f>SUM(BP11:BP14)</f>
        <v>53370</v>
      </c>
      <c r="BQ15" s="17">
        <f>SUM(BQ11:BQ14)</f>
        <v>51466</v>
      </c>
      <c r="BR15" s="17">
        <f>SUM(BR11:BR14)</f>
        <v>52437</v>
      </c>
      <c r="BS15" s="17">
        <f>SUM(BS11:BS14)</f>
        <v>51837</v>
      </c>
      <c r="BT15" s="17">
        <f>SUM(BT11:BT14)</f>
        <v>51409</v>
      </c>
      <c r="BU15" s="12"/>
    </row>
    <row r="16" spans="1:73" ht="13.5" customHeight="1" x14ac:dyDescent="0.2">
      <c r="A16" s="11"/>
      <c r="C16" s="4" t="s">
        <v>65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2"/>
    </row>
    <row r="17" spans="1:73" ht="13.5" customHeight="1" x14ac:dyDescent="0.2">
      <c r="A17" s="11"/>
      <c r="D17" s="2" t="s">
        <v>78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f>UMKC!R17</f>
        <v>505</v>
      </c>
      <c r="S17" s="17">
        <f>UMKC!S17</f>
        <v>531</v>
      </c>
      <c r="T17" s="17"/>
      <c r="U17" s="17"/>
      <c r="V17" s="17"/>
      <c r="W17" s="17"/>
      <c r="X17" s="17"/>
      <c r="Y17" s="17"/>
      <c r="Z17" s="17">
        <f>UMKC!Z17</f>
        <v>638</v>
      </c>
      <c r="AA17" s="17">
        <f>UMKC!AA17</f>
        <v>637</v>
      </c>
      <c r="AB17" s="17">
        <f>UMKC!AB17</f>
        <v>640</v>
      </c>
      <c r="AC17" s="17">
        <f>UMKC!AC17</f>
        <v>629</v>
      </c>
      <c r="AD17" s="17">
        <f>UMKC!AD17</f>
        <v>628</v>
      </c>
      <c r="AE17" s="17">
        <f>UMKC!AE17</f>
        <v>589</v>
      </c>
      <c r="AF17" s="17">
        <f>UMKC!AF17</f>
        <v>549</v>
      </c>
      <c r="AG17" s="17">
        <f>UMKC!AG17</f>
        <v>504</v>
      </c>
      <c r="AH17" s="17">
        <f>UMKC!AH17</f>
        <v>460</v>
      </c>
      <c r="AI17" s="17">
        <f>UMKC!AI17</f>
        <v>441</v>
      </c>
      <c r="AJ17" s="17">
        <f>UMKC!AJ17</f>
        <v>430</v>
      </c>
      <c r="AK17" s="17">
        <f>UMKC!AK17</f>
        <v>390</v>
      </c>
      <c r="AL17" s="17">
        <f>UMKC!AL17</f>
        <v>353</v>
      </c>
      <c r="AM17" s="17">
        <f>UMKC!AM17</f>
        <v>320</v>
      </c>
      <c r="AN17" s="17">
        <f>UMKC!AN17</f>
        <v>311</v>
      </c>
      <c r="AO17" s="17">
        <f>UMKC!AO17</f>
        <v>298</v>
      </c>
      <c r="AP17" s="17">
        <f>UMKC!AP17</f>
        <v>313</v>
      </c>
      <c r="AQ17" s="17">
        <f>UMKC!AQ17</f>
        <v>313</v>
      </c>
      <c r="AR17" s="17">
        <f>UMKC!AR17</f>
        <v>308</v>
      </c>
      <c r="AS17" s="17">
        <f>UMKC!AS17</f>
        <v>309</v>
      </c>
      <c r="AT17" s="17">
        <f>UMKC!AT17</f>
        <v>311</v>
      </c>
      <c r="AU17" s="17">
        <f>UMKC!AU17</f>
        <v>319</v>
      </c>
      <c r="AV17" s="17">
        <f>UMKC!AV17</f>
        <v>309</v>
      </c>
      <c r="AW17" s="17">
        <f>UMKC!AW17</f>
        <v>320</v>
      </c>
      <c r="AX17" s="17">
        <f>UMKC!AX17</f>
        <v>329</v>
      </c>
      <c r="AY17" s="17">
        <f>UMKC!AY17</f>
        <v>347</v>
      </c>
      <c r="AZ17" s="17">
        <f>UMKC!AZ17</f>
        <v>360</v>
      </c>
      <c r="BA17" s="17">
        <f>UMKC!BA17</f>
        <v>381</v>
      </c>
      <c r="BB17" s="17">
        <f>UMKC!BB17</f>
        <v>388</v>
      </c>
      <c r="BC17" s="17">
        <f>UMKC!BC17</f>
        <v>393</v>
      </c>
      <c r="BD17" s="17">
        <f>UMKC!BD17</f>
        <v>401</v>
      </c>
      <c r="BE17" s="17">
        <f>UMKC!BE17</f>
        <v>399</v>
      </c>
      <c r="BF17" s="17">
        <f>UMKC!BF17</f>
        <v>401</v>
      </c>
      <c r="BG17" s="17">
        <f>UMKC!BG17</f>
        <v>405</v>
      </c>
      <c r="BH17" s="17">
        <f>UMKC!BH17</f>
        <v>420</v>
      </c>
      <c r="BI17" s="17">
        <f>UMKC!BI17</f>
        <v>425</v>
      </c>
      <c r="BJ17" s="17">
        <f>UMKC!BJ17</f>
        <v>425</v>
      </c>
      <c r="BK17" s="17">
        <f>UMKC!BK17</f>
        <v>426</v>
      </c>
      <c r="BL17" s="17">
        <f>UMKC!BL17</f>
        <v>432</v>
      </c>
      <c r="BM17" s="17">
        <f>UMKC!BM17</f>
        <v>439</v>
      </c>
      <c r="BN17" s="17">
        <f>UMKC!BN17</f>
        <v>434</v>
      </c>
      <c r="BO17" s="17">
        <f>UMKC!BO17</f>
        <v>432</v>
      </c>
      <c r="BP17" s="17">
        <f>UMKC!BP17</f>
        <v>433</v>
      </c>
      <c r="BQ17" s="17">
        <f>UMKC!BQ17</f>
        <v>432</v>
      </c>
      <c r="BR17" s="17">
        <f>UMKC!BR17</f>
        <v>430</v>
      </c>
      <c r="BS17" s="17">
        <f>UMKC!BS17</f>
        <v>428</v>
      </c>
      <c r="BT17" s="17">
        <f>UMKC!BT17</f>
        <v>431</v>
      </c>
      <c r="BU17" s="12"/>
    </row>
    <row r="18" spans="1:73" ht="13.5" customHeight="1" x14ac:dyDescent="0.2">
      <c r="A18" s="11"/>
      <c r="D18" s="2" t="s">
        <v>66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f>MU!R17+UMKC!R18</f>
        <v>698</v>
      </c>
      <c r="S18" s="17"/>
      <c r="T18" s="17"/>
      <c r="U18" s="17"/>
      <c r="V18" s="17"/>
      <c r="W18" s="17"/>
      <c r="X18" s="17"/>
      <c r="Y18" s="17"/>
      <c r="Z18" s="17">
        <f>MU!Z17+UMKC!Z18</f>
        <v>876</v>
      </c>
      <c r="AA18" s="17">
        <f>MU!AA17+UMKC!AA18</f>
        <v>887</v>
      </c>
      <c r="AB18" s="17">
        <f>MU!AB17+UMKC!AB18</f>
        <v>902</v>
      </c>
      <c r="AC18" s="17">
        <f>MU!AC17+UMKC!AC18</f>
        <v>888</v>
      </c>
      <c r="AD18" s="17">
        <f>MU!AD17+UMKC!AD18</f>
        <v>893</v>
      </c>
      <c r="AE18" s="17">
        <f>MU!AE17+UMKC!AE18</f>
        <v>891</v>
      </c>
      <c r="AF18" s="17">
        <f>MU!AF17+UMKC!AF18</f>
        <v>871</v>
      </c>
      <c r="AG18" s="17">
        <f>MU!AG17+UMKC!AG18</f>
        <v>862</v>
      </c>
      <c r="AH18" s="17">
        <f>MU!AH17+UMKC!AH18</f>
        <v>868</v>
      </c>
      <c r="AI18" s="17">
        <f>MU!AI17+UMKC!AI18</f>
        <v>878</v>
      </c>
      <c r="AJ18" s="17">
        <f>MU!AJ17+UMKC!AJ18</f>
        <v>903</v>
      </c>
      <c r="AK18" s="17">
        <f>MU!AK17+UMKC!AK18</f>
        <v>928</v>
      </c>
      <c r="AL18" s="17">
        <f>MU!AL17+UMKC!AL18</f>
        <v>969</v>
      </c>
      <c r="AM18" s="17">
        <f>MU!AM17+UMKC!AM18</f>
        <v>974</v>
      </c>
      <c r="AN18" s="17">
        <f>MU!AN17+UMKC!AN18</f>
        <v>917</v>
      </c>
      <c r="AO18" s="17">
        <f>MU!AO17+UMKC!AO18</f>
        <v>907</v>
      </c>
      <c r="AP18" s="17">
        <f>MU!AP17+UMKC!AP18</f>
        <v>913</v>
      </c>
      <c r="AQ18" s="17">
        <f>MU!AQ17+UMKC!AQ18</f>
        <v>934</v>
      </c>
      <c r="AR18" s="17">
        <f>MU!AR17+UMKC!AR18</f>
        <v>932</v>
      </c>
      <c r="AS18" s="17">
        <f>MU!AS17+UMKC!AS18</f>
        <v>984</v>
      </c>
      <c r="AT18" s="17">
        <f>MU!AT17+UMKC!AT18</f>
        <v>1032</v>
      </c>
      <c r="AU18" s="17">
        <f>MU!AU17+UMKC!AU18</f>
        <v>1048</v>
      </c>
      <c r="AV18" s="17">
        <f>MU!AV17+UMKC!AV18</f>
        <v>1011</v>
      </c>
      <c r="AW18" s="17">
        <f>MU!AW17+UMKC!AW18</f>
        <v>1003</v>
      </c>
      <c r="AX18" s="17">
        <f>MU!AX17+UMKC!AX18</f>
        <v>1029</v>
      </c>
      <c r="AY18" s="17">
        <f>MU!AY17+UMKC!AY18</f>
        <v>1031</v>
      </c>
      <c r="AZ18" s="17">
        <f>MU!AZ17+UMKC!AZ18</f>
        <v>989</v>
      </c>
      <c r="BA18" s="17">
        <f>MU!BA17+UMKC!BA18</f>
        <v>974</v>
      </c>
      <c r="BB18" s="17">
        <f>MU!BB17+UMKC!BB18</f>
        <v>972</v>
      </c>
      <c r="BC18" s="17">
        <f>MU!BC17+UMKC!BC18</f>
        <v>971</v>
      </c>
      <c r="BD18" s="17">
        <f>MU!BD17+UMKC!BD18</f>
        <v>956</v>
      </c>
      <c r="BE18" s="17">
        <f>MU!BE17+UMKC!BE18</f>
        <v>945</v>
      </c>
      <c r="BF18" s="17">
        <f>MU!BF17+UMKC!BF18</f>
        <v>943</v>
      </c>
      <c r="BG18" s="17">
        <f>MU!BG17+UMKC!BG18</f>
        <v>932</v>
      </c>
      <c r="BH18" s="17">
        <f>MU!BH17+UMKC!BH18</f>
        <v>901</v>
      </c>
      <c r="BI18" s="17">
        <f>MU!BI17+UMKC!BI18</f>
        <v>879</v>
      </c>
      <c r="BJ18" s="17">
        <f>MU!BJ17+UMKC!BJ18</f>
        <v>873</v>
      </c>
      <c r="BK18" s="17">
        <f>MU!BK17+UMKC!BK18</f>
        <v>838</v>
      </c>
      <c r="BL18" s="17">
        <f>MU!BL17+UMKC!BL18</f>
        <v>798</v>
      </c>
      <c r="BM18" s="17">
        <f>MU!BM17+UMKC!BM18</f>
        <v>728</v>
      </c>
      <c r="BN18" s="17">
        <f>MU!BN17+UMKC!BN18</f>
        <v>690</v>
      </c>
      <c r="BO18" s="17">
        <f>MU!BO17+UMKC!BO18</f>
        <v>676</v>
      </c>
      <c r="BP18" s="17">
        <f>MU!BP17+UMKC!BP18</f>
        <v>657</v>
      </c>
      <c r="BQ18" s="17">
        <f>MU!BQ17+UMKC!BQ18</f>
        <v>700</v>
      </c>
      <c r="BR18" s="17">
        <f>MU!BR17+UMKC!BR18</f>
        <v>746</v>
      </c>
      <c r="BS18" s="17">
        <f>MU!BS17+UMKC!BS18</f>
        <v>797</v>
      </c>
      <c r="BT18" s="17">
        <f>MU!BT17+UMKC!BT18</f>
        <v>788</v>
      </c>
      <c r="BU18" s="12"/>
    </row>
    <row r="19" spans="1:73" ht="13.5" customHeight="1" x14ac:dyDescent="0.2">
      <c r="A19" s="11"/>
      <c r="D19" s="2" t="s">
        <v>67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>
        <f>MU!Z18+UMKC!Z19</f>
        <v>734</v>
      </c>
      <c r="AA19" s="17">
        <f>MU!AA18+UMKC!AA19</f>
        <v>750</v>
      </c>
      <c r="AB19" s="17">
        <f>MU!AB18+UMKC!AB19</f>
        <v>770</v>
      </c>
      <c r="AC19" s="17">
        <f>MU!AC18+UMKC!AC19</f>
        <v>762</v>
      </c>
      <c r="AD19" s="17">
        <f>MU!AD18+UMKC!AD19</f>
        <v>805</v>
      </c>
      <c r="AE19" s="17">
        <f>MU!AE18+UMKC!AE19</f>
        <v>806</v>
      </c>
      <c r="AF19" s="17">
        <f>MU!AF18+UMKC!AF19</f>
        <v>810</v>
      </c>
      <c r="AG19" s="17">
        <f>MU!AG18+UMKC!AG19</f>
        <v>819</v>
      </c>
      <c r="AH19" s="17">
        <f>MU!AH18+UMKC!AH19</f>
        <v>812</v>
      </c>
      <c r="AI19" s="17">
        <f>MU!AI18+UMKC!AI19</f>
        <v>784</v>
      </c>
      <c r="AJ19" s="17">
        <f>MU!AJ18+UMKC!AJ19</f>
        <v>769</v>
      </c>
      <c r="AK19" s="17">
        <f>MU!AK18+UMKC!AK19</f>
        <v>783</v>
      </c>
      <c r="AL19" s="17">
        <f>MU!AL18+UMKC!AL19</f>
        <v>775</v>
      </c>
      <c r="AM19" s="17">
        <f>MU!AM18+UMKC!AM19</f>
        <v>810</v>
      </c>
      <c r="AN19" s="17">
        <f>MU!AN18+UMKC!AN19</f>
        <v>807</v>
      </c>
      <c r="AO19" s="17">
        <f>MU!AO18+UMKC!AO19</f>
        <v>805</v>
      </c>
      <c r="AP19" s="17">
        <f>MU!AP18+UMKC!AP19</f>
        <v>806</v>
      </c>
      <c r="AQ19" s="17">
        <f>MU!AQ18+UMKC!AQ19</f>
        <v>790</v>
      </c>
      <c r="AR19" s="17">
        <f>MU!AR18+UMKC!AR19</f>
        <v>755</v>
      </c>
      <c r="AS19" s="17">
        <f>MU!AS18+UMKC!AS19</f>
        <v>745</v>
      </c>
      <c r="AT19" s="17">
        <f>MU!AT18+UMKC!AT19</f>
        <v>736</v>
      </c>
      <c r="AU19" s="17">
        <f>MU!AU18+UMKC!AU19</f>
        <v>729</v>
      </c>
      <c r="AV19" s="17">
        <f>MU!AV18+UMKC!AV19</f>
        <v>742</v>
      </c>
      <c r="AW19" s="17">
        <f>MU!AW18+UMKC!AW19</f>
        <v>747</v>
      </c>
      <c r="AX19" s="17">
        <f>MU!AX18+UMKC!AX19</f>
        <v>740</v>
      </c>
      <c r="AY19" s="17">
        <f>MU!AY18+UMKC!AY19</f>
        <v>740</v>
      </c>
      <c r="AZ19" s="17">
        <f>MU!AZ18+UMKC!AZ19</f>
        <v>729</v>
      </c>
      <c r="BA19" s="17">
        <f>MU!BA18+UMKC!BA19</f>
        <v>726</v>
      </c>
      <c r="BB19" s="17">
        <f>MU!BB18+UMKC!BB19</f>
        <v>736</v>
      </c>
      <c r="BC19" s="17">
        <f>MU!BC18+UMKC!BC19</f>
        <v>738</v>
      </c>
      <c r="BD19" s="17">
        <f>MU!BD18+UMKC!BD19</f>
        <v>759</v>
      </c>
      <c r="BE19" s="17">
        <f>MU!BE18+UMKC!BE19</f>
        <v>767</v>
      </c>
      <c r="BF19" s="17">
        <f>MU!BF18+UMKC!BF19</f>
        <v>769</v>
      </c>
      <c r="BG19" s="17">
        <f>MU!BG18+UMKC!BG19</f>
        <v>780</v>
      </c>
      <c r="BH19" s="17">
        <f>MU!BH18+UMKC!BH19</f>
        <v>798</v>
      </c>
      <c r="BI19" s="17">
        <f>MU!BI18+UMKC!BI19</f>
        <v>818</v>
      </c>
      <c r="BJ19" s="17">
        <f>MU!BJ18+UMKC!BJ19</f>
        <v>823</v>
      </c>
      <c r="BK19" s="17">
        <f>MU!BK18+UMKC!BK19</f>
        <v>844</v>
      </c>
      <c r="BL19" s="17">
        <f>MU!BL18+UMKC!BL19</f>
        <v>824</v>
      </c>
      <c r="BM19" s="17">
        <f>MU!BM18+UMKC!BM19</f>
        <v>864</v>
      </c>
      <c r="BN19" s="17">
        <f>MU!BN18+UMKC!BN19</f>
        <v>884</v>
      </c>
      <c r="BO19" s="17">
        <f>MU!BO18+UMKC!BO19</f>
        <v>893</v>
      </c>
      <c r="BP19" s="17">
        <f>MU!BP18+UMKC!BP19</f>
        <v>912</v>
      </c>
      <c r="BQ19" s="17">
        <f>MU!BQ18+UMKC!BQ19</f>
        <v>952</v>
      </c>
      <c r="BR19" s="17">
        <f>MU!BR18+UMKC!BR19</f>
        <v>975</v>
      </c>
      <c r="BS19" s="17">
        <f>MU!BS18+UMKC!BS19</f>
        <v>1016</v>
      </c>
      <c r="BT19" s="17">
        <f>MU!BT18+UMKC!BT19</f>
        <v>1037</v>
      </c>
      <c r="BU19" s="12"/>
    </row>
    <row r="20" spans="1:73" ht="13.5" customHeight="1" x14ac:dyDescent="0.2">
      <c r="A20" s="11"/>
      <c r="D20" s="2" t="s">
        <v>106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>
        <f>MU!BS19</f>
        <v>166</v>
      </c>
      <c r="BT20" s="17">
        <f>MU!BT19+UMKC!BT20</f>
        <v>255</v>
      </c>
      <c r="BU20" s="12"/>
    </row>
    <row r="21" spans="1:73" ht="13.5" customHeight="1" x14ac:dyDescent="0.2">
      <c r="A21" s="11"/>
      <c r="D21" s="2" t="s">
        <v>98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>
        <f>MU!BO20</f>
        <v>43</v>
      </c>
      <c r="BP21" s="17">
        <f>MU!BP20</f>
        <v>89</v>
      </c>
      <c r="BQ21" s="17">
        <f>MU!BQ20</f>
        <v>91</v>
      </c>
      <c r="BR21" s="17">
        <f>MU!BR20</f>
        <v>100</v>
      </c>
      <c r="BS21" s="17">
        <f>MU!BS20</f>
        <v>108</v>
      </c>
      <c r="BT21" s="17">
        <f>MU!BT20</f>
        <v>150</v>
      </c>
      <c r="BU21" s="12"/>
    </row>
    <row r="22" spans="1:73" ht="13.5" customHeight="1" x14ac:dyDescent="0.2">
      <c r="A22" s="11"/>
      <c r="D22" s="2" t="s">
        <v>85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7">
        <f>UMSL!AB17</f>
        <v>0</v>
      </c>
      <c r="AC22" s="17">
        <f>UMSL!AC17</f>
        <v>36</v>
      </c>
      <c r="AD22" s="17">
        <f>UMSL!AD17</f>
        <v>63</v>
      </c>
      <c r="AE22" s="17">
        <f>UMSL!AE17</f>
        <v>89</v>
      </c>
      <c r="AF22" s="17">
        <f>UMSL!AF17</f>
        <v>121</v>
      </c>
      <c r="AG22" s="17">
        <f>UMSL!AG17</f>
        <v>117</v>
      </c>
      <c r="AH22" s="17">
        <f>UMSL!AH17</f>
        <v>132</v>
      </c>
      <c r="AI22" s="17">
        <f>UMSL!AI17</f>
        <v>141</v>
      </c>
      <c r="AJ22" s="17">
        <f>UMSL!AJ17</f>
        <v>152</v>
      </c>
      <c r="AK22" s="17">
        <f>UMSL!AK17</f>
        <v>160</v>
      </c>
      <c r="AL22" s="17">
        <f>UMSL!AL17</f>
        <v>156</v>
      </c>
      <c r="AM22" s="17">
        <f>UMSL!AM17</f>
        <v>157</v>
      </c>
      <c r="AN22" s="17">
        <f>UMSL!AN17</f>
        <v>156</v>
      </c>
      <c r="AO22" s="17">
        <f>UMSL!AO17</f>
        <v>157</v>
      </c>
      <c r="AP22" s="17">
        <f>UMSL!AP17</f>
        <v>157</v>
      </c>
      <c r="AQ22" s="17">
        <f>UMSL!AQ17</f>
        <v>155</v>
      </c>
      <c r="AR22" s="17">
        <f>UMSL!AR17</f>
        <v>160</v>
      </c>
      <c r="AS22" s="17">
        <f>UMSL!AS17</f>
        <v>163</v>
      </c>
      <c r="AT22" s="17">
        <f>UMSL!AT17</f>
        <v>168</v>
      </c>
      <c r="AU22" s="17">
        <f>UMSL!AU17</f>
        <v>173</v>
      </c>
      <c r="AV22" s="17">
        <f>UMSL!AV17</f>
        <v>173</v>
      </c>
      <c r="AW22" s="17">
        <f>UMSL!AW17</f>
        <v>169</v>
      </c>
      <c r="AX22" s="17">
        <f>UMSL!AX17</f>
        <v>163</v>
      </c>
      <c r="AY22" s="17">
        <f>UMSL!AY17</f>
        <v>158</v>
      </c>
      <c r="AZ22" s="17">
        <f>UMSL!AZ17</f>
        <v>159</v>
      </c>
      <c r="BA22" s="17">
        <f>UMSL!BA17</f>
        <v>165</v>
      </c>
      <c r="BB22" s="17">
        <f>UMSL!BB17</f>
        <v>164</v>
      </c>
      <c r="BC22" s="17">
        <f>UMSL!BC17</f>
        <v>176</v>
      </c>
      <c r="BD22" s="17">
        <f>UMSL!BD17</f>
        <v>171</v>
      </c>
      <c r="BE22" s="17">
        <f>UMSL!BE17</f>
        <v>178</v>
      </c>
      <c r="BF22" s="17">
        <f>UMSL!BF17</f>
        <v>179</v>
      </c>
      <c r="BG22" s="17">
        <f>UMSL!BG17</f>
        <v>171</v>
      </c>
      <c r="BH22" s="17">
        <f>UMSL!BH17</f>
        <v>172</v>
      </c>
      <c r="BI22" s="17">
        <f>UMSL!BI17</f>
        <v>168</v>
      </c>
      <c r="BJ22" s="17">
        <f>UMSL!BJ17</f>
        <v>172</v>
      </c>
      <c r="BK22" s="17">
        <f>UMSL!BK17</f>
        <v>176</v>
      </c>
      <c r="BL22" s="17">
        <f>UMSL!BL17</f>
        <v>172</v>
      </c>
      <c r="BM22" s="17">
        <f>UMSL!BM17</f>
        <v>168</v>
      </c>
      <c r="BN22" s="17">
        <f>UMSL!BN17</f>
        <v>172</v>
      </c>
      <c r="BO22" s="17">
        <f>UMSL!BO17</f>
        <v>175</v>
      </c>
      <c r="BP22" s="17">
        <f>UMSL!BP17</f>
        <v>181</v>
      </c>
      <c r="BQ22" s="17">
        <f>UMSL!BQ17</f>
        <v>177</v>
      </c>
      <c r="BR22" s="17">
        <f>UMSL!BR17</f>
        <v>171</v>
      </c>
      <c r="BS22" s="17">
        <f>UMSL!BS17</f>
        <v>173</v>
      </c>
      <c r="BT22" s="17">
        <f>UMSL!BT17</f>
        <v>177</v>
      </c>
      <c r="BU22" s="12"/>
    </row>
    <row r="23" spans="1:73" ht="13.5" customHeight="1" x14ac:dyDescent="0.2">
      <c r="A23" s="11"/>
      <c r="D23" s="2" t="s">
        <v>79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>
        <f>UMKC!Z21</f>
        <v>8</v>
      </c>
      <c r="AA23" s="17">
        <f>UMKC!AA21</f>
        <v>7</v>
      </c>
      <c r="AB23" s="17">
        <f>UMKC!AB21</f>
        <v>4</v>
      </c>
      <c r="AC23" s="17">
        <f>UMKC!AC21</f>
        <v>6</v>
      </c>
      <c r="AD23" s="17">
        <f>UMKC!AD21</f>
        <v>0</v>
      </c>
      <c r="AE23" s="17">
        <f>UMKC!AE21</f>
        <v>0</v>
      </c>
      <c r="AF23" s="17">
        <f>UMKC!AF21</f>
        <v>0</v>
      </c>
      <c r="AG23" s="17">
        <f>UMKC!AG21</f>
        <v>0</v>
      </c>
      <c r="AH23" s="17">
        <f>UMKC!AH21</f>
        <v>0</v>
      </c>
      <c r="AI23" s="17">
        <f>UMKC!AI21</f>
        <v>0</v>
      </c>
      <c r="AJ23" s="17">
        <f>UMKC!AJ21</f>
        <v>0</v>
      </c>
      <c r="AK23" s="17">
        <f>UMKC!AK21</f>
        <v>0</v>
      </c>
      <c r="AL23" s="17">
        <f>UMKC!AL21</f>
        <v>0</v>
      </c>
      <c r="AM23" s="17">
        <f>UMKC!AM21</f>
        <v>12</v>
      </c>
      <c r="AN23" s="17">
        <f>UMKC!AN21</f>
        <v>8</v>
      </c>
      <c r="AO23" s="17">
        <f>UMKC!AO21</f>
        <v>16</v>
      </c>
      <c r="AP23" s="17">
        <f>UMKC!AP21</f>
        <v>17</v>
      </c>
      <c r="AQ23" s="17">
        <f>UMKC!AQ21</f>
        <v>27</v>
      </c>
      <c r="AR23" s="17">
        <f>UMKC!AR21</f>
        <v>32</v>
      </c>
      <c r="AS23" s="17">
        <f>UMKC!AS21</f>
        <v>45</v>
      </c>
      <c r="AT23" s="17">
        <f>UMKC!AT21</f>
        <v>56</v>
      </c>
      <c r="AU23" s="17">
        <f>UMKC!AU21</f>
        <v>98</v>
      </c>
      <c r="AV23" s="17">
        <f>UMKC!AV21</f>
        <v>200</v>
      </c>
      <c r="AW23" s="17">
        <f>UMKC!AW21</f>
        <v>176</v>
      </c>
      <c r="AX23" s="17">
        <f>UMKC!AX21</f>
        <v>202</v>
      </c>
      <c r="AY23" s="17">
        <f>UMKC!AY21</f>
        <v>214</v>
      </c>
      <c r="AZ23" s="17">
        <f>UMKC!AZ21</f>
        <v>210</v>
      </c>
      <c r="BA23" s="17">
        <f>UMKC!BA21</f>
        <v>225</v>
      </c>
      <c r="BB23" s="17">
        <f>UMKC!BB21</f>
        <v>243</v>
      </c>
      <c r="BC23" s="17">
        <f>UMKC!BC21</f>
        <v>238</v>
      </c>
      <c r="BD23" s="17">
        <f>UMKC!BD21</f>
        <v>265</v>
      </c>
      <c r="BE23" s="17">
        <f>UMKC!BE21</f>
        <v>298</v>
      </c>
      <c r="BF23" s="17">
        <f>UMKC!BF21</f>
        <v>339</v>
      </c>
      <c r="BG23" s="17">
        <f>UMKC!BG21</f>
        <v>352</v>
      </c>
      <c r="BH23" s="17">
        <f>UMKC!BH21</f>
        <v>363</v>
      </c>
      <c r="BI23" s="17">
        <f>UMKC!BI21</f>
        <v>421</v>
      </c>
      <c r="BJ23" s="17">
        <f>UMKC!BJ21</f>
        <v>424</v>
      </c>
      <c r="BK23" s="17">
        <f>UMKC!BK21</f>
        <v>438</v>
      </c>
      <c r="BL23" s="17">
        <f>UMKC!BL21</f>
        <v>447</v>
      </c>
      <c r="BM23" s="17">
        <f>UMKC!BM21</f>
        <v>458</v>
      </c>
      <c r="BN23" s="17">
        <f>UMKC!BN21</f>
        <v>482</v>
      </c>
      <c r="BO23" s="17">
        <f>UMKC!BO21</f>
        <v>498</v>
      </c>
      <c r="BP23" s="17">
        <f>UMKC!BP21</f>
        <v>484</v>
      </c>
      <c r="BQ23" s="17">
        <f>UMKC!BQ21</f>
        <v>478</v>
      </c>
      <c r="BR23" s="17">
        <f>UMKC!BR21</f>
        <v>436</v>
      </c>
      <c r="BS23" s="17">
        <f>UMKC!BS21</f>
        <v>387</v>
      </c>
      <c r="BT23" s="17">
        <f>UMKC!BT21</f>
        <v>326</v>
      </c>
      <c r="BU23" s="12"/>
    </row>
    <row r="24" spans="1:73" ht="13.5" customHeight="1" x14ac:dyDescent="0.2">
      <c r="A24" s="11"/>
      <c r="D24" s="2" t="s">
        <v>99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>
        <f>MU!BO21</f>
        <v>171</v>
      </c>
      <c r="BP24" s="17">
        <f>MU!BP21</f>
        <v>174</v>
      </c>
      <c r="BQ24" s="17">
        <f>MU!BQ21</f>
        <v>177</v>
      </c>
      <c r="BR24" s="17">
        <f>MU!BR21</f>
        <v>176</v>
      </c>
      <c r="BS24" s="17">
        <f>MU!BS21</f>
        <v>173</v>
      </c>
      <c r="BT24" s="17">
        <f>MU!BT21</f>
        <v>166</v>
      </c>
      <c r="BU24" s="12"/>
    </row>
    <row r="25" spans="1:73" ht="13.5" customHeight="1" x14ac:dyDescent="0.2">
      <c r="A25" s="11"/>
      <c r="D25" s="2" t="s">
        <v>68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39">
        <f>MU!O22</f>
        <v>168</v>
      </c>
      <c r="P25" s="39">
        <f>MU!P22</f>
        <v>187</v>
      </c>
      <c r="Q25" s="39">
        <f>MU!Q22</f>
        <v>220</v>
      </c>
      <c r="R25" s="39">
        <f>MU!R22</f>
        <v>233</v>
      </c>
      <c r="S25" s="39">
        <f>MU!S22</f>
        <v>240</v>
      </c>
      <c r="T25" s="39"/>
      <c r="U25" s="39"/>
      <c r="V25" s="39"/>
      <c r="W25" s="39"/>
      <c r="X25" s="39"/>
      <c r="Y25" s="39"/>
      <c r="Z25" s="18">
        <f>MU!Z22</f>
        <v>284</v>
      </c>
      <c r="AA25" s="18">
        <f>MU!AA22</f>
        <v>289</v>
      </c>
      <c r="AB25" s="18">
        <f>MU!AB22</f>
        <v>293</v>
      </c>
      <c r="AC25" s="18">
        <f>MU!AC22</f>
        <v>296</v>
      </c>
      <c r="AD25" s="18">
        <f>MU!AD22</f>
        <v>300</v>
      </c>
      <c r="AE25" s="18">
        <f>MU!AE22</f>
        <v>300</v>
      </c>
      <c r="AF25" s="18">
        <f>MU!AF22</f>
        <v>296</v>
      </c>
      <c r="AG25" s="18">
        <f>MU!AG22</f>
        <v>296</v>
      </c>
      <c r="AH25" s="18">
        <f>MU!AH22</f>
        <v>301</v>
      </c>
      <c r="AI25" s="18">
        <f>MU!AI22</f>
        <v>294</v>
      </c>
      <c r="AJ25" s="18">
        <f>MU!AJ22</f>
        <v>284</v>
      </c>
      <c r="AK25" s="18">
        <f>MU!AK22</f>
        <v>268</v>
      </c>
      <c r="AL25" s="18">
        <f>MU!AL22</f>
        <v>258</v>
      </c>
      <c r="AM25" s="18">
        <f>MU!AM22</f>
        <v>252</v>
      </c>
      <c r="AN25" s="18">
        <f>MU!AN22</f>
        <v>252</v>
      </c>
      <c r="AO25" s="18">
        <f>MU!AO22</f>
        <v>252</v>
      </c>
      <c r="AP25" s="18">
        <f>MU!AP22</f>
        <v>249</v>
      </c>
      <c r="AQ25" s="18">
        <f>MU!AQ22</f>
        <v>247</v>
      </c>
      <c r="AR25" s="18">
        <f>MU!AR22</f>
        <v>254</v>
      </c>
      <c r="AS25" s="18">
        <f>MU!AS22</f>
        <v>257</v>
      </c>
      <c r="AT25" s="18">
        <f>MU!AT22</f>
        <v>251</v>
      </c>
      <c r="AU25" s="18">
        <f>MU!AU22</f>
        <v>246</v>
      </c>
      <c r="AV25" s="18">
        <f>MU!AV22</f>
        <v>248</v>
      </c>
      <c r="AW25" s="18">
        <f>MU!AW22</f>
        <v>250</v>
      </c>
      <c r="AX25" s="18">
        <f>MU!AX22</f>
        <v>252</v>
      </c>
      <c r="AY25" s="18">
        <f>MU!AY22</f>
        <v>253</v>
      </c>
      <c r="AZ25" s="18">
        <f>MU!AZ22</f>
        <v>256</v>
      </c>
      <c r="BA25" s="18">
        <f>MU!BA22</f>
        <v>257</v>
      </c>
      <c r="BB25" s="18">
        <f>MU!BB22</f>
        <v>267</v>
      </c>
      <c r="BC25" s="18">
        <f>MU!BC22</f>
        <v>271</v>
      </c>
      <c r="BD25" s="18">
        <f>MU!BD22</f>
        <v>278</v>
      </c>
      <c r="BE25" s="18">
        <f>MU!BE22</f>
        <v>286</v>
      </c>
      <c r="BF25" s="18">
        <f>MU!BF22</f>
        <v>321</v>
      </c>
      <c r="BG25" s="18">
        <f>MU!BG22</f>
        <v>366</v>
      </c>
      <c r="BH25" s="18">
        <f>MU!BH22</f>
        <v>413</v>
      </c>
      <c r="BI25" s="18">
        <f>MU!BI22</f>
        <v>453</v>
      </c>
      <c r="BJ25" s="18">
        <f>MU!BJ22</f>
        <v>462</v>
      </c>
      <c r="BK25" s="18">
        <f>MU!BK22</f>
        <v>458</v>
      </c>
      <c r="BL25" s="18">
        <f>MU!BL22</f>
        <v>458</v>
      </c>
      <c r="BM25" s="18">
        <f>MU!BM22</f>
        <v>459</v>
      </c>
      <c r="BN25" s="18">
        <f>MU!BN22</f>
        <v>460</v>
      </c>
      <c r="BO25" s="18">
        <f>MU!BO22</f>
        <v>463</v>
      </c>
      <c r="BP25" s="18">
        <f>MU!BP22</f>
        <v>473</v>
      </c>
      <c r="BQ25" s="18">
        <f>MU!BQ22</f>
        <v>478</v>
      </c>
      <c r="BR25" s="18">
        <f>MU!BR22</f>
        <v>485</v>
      </c>
      <c r="BS25" s="18">
        <f>MU!BS22</f>
        <v>477</v>
      </c>
      <c r="BT25" s="18">
        <f>MU!BT22</f>
        <v>476</v>
      </c>
      <c r="BU25" s="12"/>
    </row>
    <row r="26" spans="1:73" ht="13.5" customHeight="1" x14ac:dyDescent="0.2">
      <c r="A26" s="1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>MU!O23+UMKC!O22</f>
        <v>1288</v>
      </c>
      <c r="P26" s="17">
        <f>MU!P23+UMKC!P22</f>
        <v>1344</v>
      </c>
      <c r="Q26" s="17">
        <f>MU!Q23+UMKC!Q22</f>
        <v>1386</v>
      </c>
      <c r="R26" s="17">
        <f>MU!R23+UMKC!R22</f>
        <v>1804</v>
      </c>
      <c r="S26" s="17">
        <f>MU!S23+UMKC!S22</f>
        <v>2048</v>
      </c>
      <c r="T26" s="17"/>
      <c r="U26" s="17">
        <f>MU!U23+UMKC!U22</f>
        <v>2360</v>
      </c>
      <c r="V26" s="17"/>
      <c r="W26" s="17">
        <f>MU!W23+UMKC!W22</f>
        <v>2408</v>
      </c>
      <c r="X26" s="17"/>
      <c r="Y26" s="17">
        <f>MU!Y23+UMKC!Y22</f>
        <v>2494</v>
      </c>
      <c r="Z26" s="17">
        <f>SUM(Z17:Z25)</f>
        <v>2540</v>
      </c>
      <c r="AA26" s="17">
        <f>SUM(AA17:AA25)</f>
        <v>2570</v>
      </c>
      <c r="AB26" s="17">
        <f>SUM(AB17:AB25)</f>
        <v>2609</v>
      </c>
      <c r="AC26" s="17">
        <f t="shared" ref="AC26:AH26" si="4">SUM(AC17:AC25)</f>
        <v>2617</v>
      </c>
      <c r="AD26" s="17">
        <f t="shared" si="4"/>
        <v>2689</v>
      </c>
      <c r="AE26" s="17">
        <f t="shared" si="4"/>
        <v>2675</v>
      </c>
      <c r="AF26" s="17">
        <f t="shared" si="4"/>
        <v>2647</v>
      </c>
      <c r="AG26" s="17">
        <f t="shared" si="4"/>
        <v>2598</v>
      </c>
      <c r="AH26" s="17">
        <f t="shared" si="4"/>
        <v>2573</v>
      </c>
      <c r="AI26" s="17">
        <f t="shared" ref="AI26:AN26" si="5">SUM(AI17:AI25)</f>
        <v>2538</v>
      </c>
      <c r="AJ26" s="17">
        <f t="shared" si="5"/>
        <v>2538</v>
      </c>
      <c r="AK26" s="17">
        <f t="shared" si="5"/>
        <v>2529</v>
      </c>
      <c r="AL26" s="17">
        <f t="shared" si="5"/>
        <v>2511</v>
      </c>
      <c r="AM26" s="17">
        <f t="shared" si="5"/>
        <v>2525</v>
      </c>
      <c r="AN26" s="17">
        <f t="shared" si="5"/>
        <v>2451</v>
      </c>
      <c r="AO26" s="17">
        <f t="shared" ref="AO26:BC26" si="6">SUM(AO17:AO25)</f>
        <v>2435</v>
      </c>
      <c r="AP26" s="17">
        <f t="shared" si="6"/>
        <v>2455</v>
      </c>
      <c r="AQ26" s="17">
        <f t="shared" si="6"/>
        <v>2466</v>
      </c>
      <c r="AR26" s="17">
        <f t="shared" si="6"/>
        <v>2441</v>
      </c>
      <c r="AS26" s="17">
        <f t="shared" si="6"/>
        <v>2503</v>
      </c>
      <c r="AT26" s="17">
        <f t="shared" si="6"/>
        <v>2554</v>
      </c>
      <c r="AU26" s="17">
        <f t="shared" si="6"/>
        <v>2613</v>
      </c>
      <c r="AV26" s="17">
        <f t="shared" si="6"/>
        <v>2683</v>
      </c>
      <c r="AW26" s="17">
        <f t="shared" si="6"/>
        <v>2665</v>
      </c>
      <c r="AX26" s="17">
        <f t="shared" si="6"/>
        <v>2715</v>
      </c>
      <c r="AY26" s="17">
        <f t="shared" si="6"/>
        <v>2743</v>
      </c>
      <c r="AZ26" s="17">
        <f t="shared" si="6"/>
        <v>2703</v>
      </c>
      <c r="BA26" s="17">
        <f t="shared" si="6"/>
        <v>2728</v>
      </c>
      <c r="BB26" s="17">
        <f t="shared" si="6"/>
        <v>2770</v>
      </c>
      <c r="BC26" s="17">
        <f t="shared" si="6"/>
        <v>2787</v>
      </c>
      <c r="BD26" s="17">
        <f t="shared" ref="BD26:BS26" si="7">SUM(BD17:BD25)</f>
        <v>2830</v>
      </c>
      <c r="BE26" s="17">
        <f t="shared" si="7"/>
        <v>2873</v>
      </c>
      <c r="BF26" s="17">
        <f t="shared" si="7"/>
        <v>2952</v>
      </c>
      <c r="BG26" s="17">
        <f t="shared" si="7"/>
        <v>3006</v>
      </c>
      <c r="BH26" s="17">
        <f t="shared" si="7"/>
        <v>3067</v>
      </c>
      <c r="BI26" s="17">
        <f t="shared" si="7"/>
        <v>3164</v>
      </c>
      <c r="BJ26" s="17">
        <f t="shared" si="7"/>
        <v>3179</v>
      </c>
      <c r="BK26" s="17">
        <f t="shared" si="7"/>
        <v>3180</v>
      </c>
      <c r="BL26" s="17">
        <f t="shared" si="7"/>
        <v>3131</v>
      </c>
      <c r="BM26" s="17">
        <f t="shared" si="7"/>
        <v>3116</v>
      </c>
      <c r="BN26" s="17">
        <f t="shared" si="7"/>
        <v>3122</v>
      </c>
      <c r="BO26" s="17">
        <f t="shared" si="7"/>
        <v>3351</v>
      </c>
      <c r="BP26" s="17">
        <f t="shared" si="7"/>
        <v>3403</v>
      </c>
      <c r="BQ26" s="17">
        <f t="shared" si="7"/>
        <v>3485</v>
      </c>
      <c r="BR26" s="17">
        <f t="shared" si="7"/>
        <v>3519</v>
      </c>
      <c r="BS26" s="17">
        <f t="shared" si="7"/>
        <v>3725</v>
      </c>
      <c r="BT26" s="17">
        <f t="shared" ref="BT26" si="8">SUM(BT17:BT25)</f>
        <v>3806</v>
      </c>
      <c r="BU26" s="12"/>
    </row>
    <row r="27" spans="1:73" ht="13.5" customHeight="1" x14ac:dyDescent="0.2">
      <c r="A27" s="11"/>
      <c r="C27" s="4" t="s">
        <v>69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2"/>
    </row>
    <row r="28" spans="1:73" ht="13.5" customHeight="1" x14ac:dyDescent="0.2">
      <c r="A28" s="11"/>
      <c r="D28" s="2" t="s">
        <v>88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f>MU!Q25+UMKC!Q24+'S&amp;T'!Q17+UMSL!Q19</f>
        <v>6093</v>
      </c>
      <c r="R28" s="17">
        <f>MU!R25+UMKC!R24+'S&amp;T'!R17+UMSL!R19</f>
        <v>6369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>
        <f>MU!AH25+UMKC!AH24+'S&amp;T'!AH17+UMSL!AH19</f>
        <v>7452</v>
      </c>
      <c r="AI28" s="17">
        <f>MU!AI25+UMKC!AI24+'S&amp;T'!AI17+UMSL!AI19</f>
        <v>7945</v>
      </c>
      <c r="AJ28" s="17">
        <f>MU!AJ25+UMKC!AJ24+'S&amp;T'!AJ17+UMSL!AJ19</f>
        <v>8459</v>
      </c>
      <c r="AK28" s="17">
        <f>MU!AK25+UMKC!AK24+'S&amp;T'!AK17+UMSL!AK19</f>
        <v>8371</v>
      </c>
      <c r="AL28" s="17">
        <f>MU!AL25+UMKC!AL24+'S&amp;T'!AL17+UMSL!AL19</f>
        <v>8760</v>
      </c>
      <c r="AM28" s="17">
        <f>MU!AM25+UMKC!AM24+'S&amp;T'!AM17+UMSL!AM19</f>
        <v>8883</v>
      </c>
      <c r="AN28" s="17">
        <f>MU!AN25+UMKC!AN24+'S&amp;T'!AN17+UMSL!AN19</f>
        <v>8981</v>
      </c>
      <c r="AO28" s="17">
        <f>MU!AO25+UMKC!AO24+'S&amp;T'!AO17+UMSL!AO19</f>
        <v>8573</v>
      </c>
      <c r="AP28" s="17">
        <f>MU!AP25+UMKC!AP24+'S&amp;T'!AP17+UMSL!AP19</f>
        <v>8276</v>
      </c>
      <c r="AQ28" s="17">
        <f>MU!AQ25+UMKC!AQ24+'S&amp;T'!AQ17+UMSL!AQ19</f>
        <v>8064</v>
      </c>
      <c r="AR28" s="17">
        <f>MU!AR25+UMKC!AR24+'S&amp;T'!AR17+UMSL!AR19</f>
        <v>8055</v>
      </c>
      <c r="AS28" s="17">
        <f>MU!AS25+UMKC!AS24+'S&amp;T'!AS17+UMSL!AS19</f>
        <v>7703</v>
      </c>
      <c r="AT28" s="17">
        <f>MU!AT25+UMKC!AT24+'S&amp;T'!AT17+UMSL!AT19</f>
        <v>7262</v>
      </c>
      <c r="AU28" s="17">
        <f>MU!AU25+UMKC!AU24+'S&amp;T'!AU17+UMSL!AU19</f>
        <v>7011</v>
      </c>
      <c r="AV28" s="17">
        <f>MU!AV25+UMKC!AV24+'S&amp;T'!AV17+UMSL!AV19</f>
        <v>7042</v>
      </c>
      <c r="AW28" s="17">
        <f>MU!AW25+UMKC!AW24+'S&amp;T'!AW17+UMSL!AW19</f>
        <v>7260</v>
      </c>
      <c r="AX28" s="17">
        <f>MU!AX25+UMKC!AX24+'S&amp;T'!AX17+UMSL!AX19</f>
        <v>7552</v>
      </c>
      <c r="AY28" s="17">
        <f>MU!AY25+UMKC!AY24+'S&amp;T'!AY17+UMSL!AY19</f>
        <v>8863</v>
      </c>
      <c r="AZ28" s="17">
        <f>MU!AZ25+UMKC!AZ24+'S&amp;T'!AZ17+UMSL!AZ19</f>
        <v>8763</v>
      </c>
      <c r="BA28" s="17">
        <f>MU!BA25+UMKC!BA24+'S&amp;T'!BA17+UMSL!BA19</f>
        <v>8338</v>
      </c>
      <c r="BB28" s="17">
        <f>MU!BB25+UMKC!BB24+'S&amp;T'!BB17+UMSL!BB19</f>
        <v>8552</v>
      </c>
      <c r="BC28" s="17">
        <f>MU!BC25+UMKC!BC24+'S&amp;T'!BC17+UMSL!BC19</f>
        <v>8777</v>
      </c>
      <c r="BD28" s="17">
        <f>MU!BD25+UMKC!BD24+'S&amp;T'!BD17+UMSL!BD19</f>
        <v>9115</v>
      </c>
      <c r="BE28" s="17">
        <f>MU!BE25+UMKC!BE24+'S&amp;T'!BE17+UMSL!BE19</f>
        <v>9431</v>
      </c>
      <c r="BF28" s="17">
        <f>MU!BF25+UMKC!BF24+'S&amp;T'!BF17+UMSL!BF19</f>
        <v>10063</v>
      </c>
      <c r="BG28" s="17">
        <f>MU!BG25+UMKC!BG24+'S&amp;T'!BG17+UMSL!BG19</f>
        <v>10203</v>
      </c>
      <c r="BH28" s="17">
        <f>MU!BH25+UMKC!BH24+'S&amp;T'!BH17+UMSL!BH19</f>
        <v>10305</v>
      </c>
      <c r="BI28" s="17">
        <f>MU!BI25+UMKC!BI24+'S&amp;T'!BI17+UMSL!BI19</f>
        <v>9869</v>
      </c>
      <c r="BJ28" s="17">
        <f>MU!BJ25+UMKC!BJ24+'S&amp;T'!BJ17+UMSL!BJ19</f>
        <v>9975</v>
      </c>
      <c r="BK28" s="17">
        <f>MU!BK25+UMKC!BK24+'S&amp;T'!BK17+UMSL!BK19</f>
        <v>10175</v>
      </c>
      <c r="BL28" s="17">
        <f>MU!BL25+UMKC!BL24+'S&amp;T'!BL17+UMSL!BL19</f>
        <v>9861</v>
      </c>
      <c r="BM28" s="17">
        <f>MU!BM25+UMKC!BM24+'S&amp;T'!BM17+UMSL!BM19</f>
        <v>9161</v>
      </c>
      <c r="BN28" s="17">
        <f>MU!BN25+UMKC!BN24+'S&amp;T'!BN17+UMSL!BN19</f>
        <v>8584</v>
      </c>
      <c r="BO28" s="17">
        <f>MU!BO25+UMKC!BO24+'S&amp;T'!BO17+UMSL!BO19</f>
        <v>8692</v>
      </c>
      <c r="BP28" s="17">
        <f>MU!BP25+UMKC!BP24+'S&amp;T'!BP17+UMSL!BP19</f>
        <v>8791</v>
      </c>
      <c r="BQ28" s="17">
        <f>MU!BQ25+UMKC!BQ24+'S&amp;T'!BQ17+UMSL!BQ19</f>
        <v>9056</v>
      </c>
      <c r="BR28" s="17">
        <f>MU!BR25+UMKC!BR24+'S&amp;T'!BR17+UMSL!BR19</f>
        <v>9390</v>
      </c>
      <c r="BS28" s="17">
        <f>MU!BS25+UMKC!BS24+'S&amp;T'!BS17+UMSL!BS19</f>
        <v>9579</v>
      </c>
      <c r="BT28" s="17">
        <f>MU!BT25+UMKC!BT24+'S&amp;T'!BT17+UMSL!BT19</f>
        <v>8998</v>
      </c>
      <c r="BU28" s="12"/>
    </row>
    <row r="29" spans="1:73" ht="13.5" customHeight="1" x14ac:dyDescent="0.2">
      <c r="A29" s="11"/>
      <c r="D29" s="2" t="s">
        <v>70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>
        <f>MU!AH26+UMKC!AH25+'S&amp;T'!AH18+UMSL!AH20</f>
        <v>2048</v>
      </c>
      <c r="AI29" s="17">
        <f>MU!AI26+UMKC!AI25+'S&amp;T'!AI18+UMSL!AI20</f>
        <v>2125</v>
      </c>
      <c r="AJ29" s="17">
        <f>MU!AJ26+UMKC!AJ25+'S&amp;T'!AJ18+UMSL!AJ20</f>
        <v>2227</v>
      </c>
      <c r="AK29" s="17">
        <f>MU!AK26+UMKC!AK25+'S&amp;T'!AK18+UMSL!AK20</f>
        <v>2245</v>
      </c>
      <c r="AL29" s="17">
        <f>MU!AL26+UMKC!AL25+'S&amp;T'!AL18+UMSL!AL20</f>
        <v>2273</v>
      </c>
      <c r="AM29" s="17">
        <f>MU!AM26+UMKC!AM25+'S&amp;T'!AM18+UMSL!AM20</f>
        <v>2452</v>
      </c>
      <c r="AN29" s="17">
        <f>MU!AN26+UMKC!AN25+'S&amp;T'!AN18+UMSL!AN20</f>
        <v>2526</v>
      </c>
      <c r="AO29" s="17">
        <f>MU!AO26+UMKC!AO25+'S&amp;T'!AO18+UMSL!AO20</f>
        <v>2523</v>
      </c>
      <c r="AP29" s="17">
        <f>MU!AP26+UMKC!AP25+'S&amp;T'!AP18+UMSL!AP20</f>
        <v>2555</v>
      </c>
      <c r="AQ29" s="17">
        <f>MU!AQ26+UMKC!AQ25+'S&amp;T'!AQ18+UMSL!AQ20</f>
        <v>2677</v>
      </c>
      <c r="AR29" s="17">
        <f>MU!AR26+UMKC!AR25+'S&amp;T'!AR18+UMSL!AR20</f>
        <v>2782</v>
      </c>
      <c r="AS29" s="17">
        <f>MU!AS26+UMKC!AS25+'S&amp;T'!AS18+UMSL!AS20</f>
        <v>2674</v>
      </c>
      <c r="AT29" s="17">
        <f>MU!AT26+UMKC!AT25+'S&amp;T'!AT18+UMSL!AT20</f>
        <v>2672</v>
      </c>
      <c r="AU29" s="17">
        <f>MU!AU26+UMKC!AU25+'S&amp;T'!AU18+UMSL!AU20</f>
        <v>2709</v>
      </c>
      <c r="AV29" s="17">
        <f>MU!AV26+UMKC!AV25+'S&amp;T'!AV18+UMSL!AV20</f>
        <v>2783</v>
      </c>
      <c r="AW29" s="17">
        <f>MU!AW26+UMKC!AW25+'S&amp;T'!AW18+UMSL!AW20</f>
        <v>2778</v>
      </c>
      <c r="AX29" s="17">
        <f>MU!AX26+UMKC!AX25+'S&amp;T'!AX18+UMSL!AX20</f>
        <v>2864</v>
      </c>
      <c r="AY29" s="17">
        <f>MU!AY26+UMKC!AY25+'S&amp;T'!AY18+UMSL!AY20</f>
        <v>2947</v>
      </c>
      <c r="AZ29" s="17">
        <f>MU!AZ26+UMKC!AZ25+'S&amp;T'!AZ18+UMSL!AZ20</f>
        <v>3247</v>
      </c>
      <c r="BA29" s="17">
        <f>MU!BA26+UMKC!BA25+'S&amp;T'!BA18+UMSL!BA20</f>
        <v>3326</v>
      </c>
      <c r="BB29" s="17">
        <f>MU!BB26+UMKC!BB25+'S&amp;T'!BB18+UMSL!BB20</f>
        <v>3469</v>
      </c>
      <c r="BC29" s="17">
        <f>MU!BC26+UMKC!BC25+'S&amp;T'!BC18+UMSL!BC20</f>
        <v>3488</v>
      </c>
      <c r="BD29" s="17">
        <f>MU!BD26+UMKC!BD25+'S&amp;T'!BD18+UMSL!BD20</f>
        <v>3515</v>
      </c>
      <c r="BE29" s="17">
        <f>MU!BE26+UMKC!BE25+'S&amp;T'!BE18+UMSL!BE20</f>
        <v>3646</v>
      </c>
      <c r="BF29" s="17">
        <f>MU!BF26+UMKC!BF25+'S&amp;T'!BF18+UMSL!BF20</f>
        <v>3890</v>
      </c>
      <c r="BG29" s="17">
        <f>MU!BG26+UMKC!BG25+'S&amp;T'!BG18+UMSL!BG20</f>
        <v>4028</v>
      </c>
      <c r="BH29" s="17">
        <f>MU!BH26+UMKC!BH25+'S&amp;T'!BH18+UMSL!BH20</f>
        <v>4262</v>
      </c>
      <c r="BI29" s="17">
        <f>MU!BI26+UMKC!BI25+'S&amp;T'!BI18+UMSL!BI20</f>
        <v>4242</v>
      </c>
      <c r="BJ29" s="17">
        <f>MU!BJ26+UMKC!BJ25+'S&amp;T'!BJ18+UMSL!BJ20</f>
        <v>4422</v>
      </c>
      <c r="BK29" s="17">
        <f>MU!BK26+UMKC!BK25+'S&amp;T'!BK18+UMSL!BK20</f>
        <v>4563</v>
      </c>
      <c r="BL29" s="17">
        <f>MU!BL26+UMKC!BL25+'S&amp;T'!BL18+UMSL!BL20</f>
        <v>4665</v>
      </c>
      <c r="BM29" s="17">
        <f>MU!BM26+UMKC!BM25+'S&amp;T'!BM18+UMSL!BM20</f>
        <v>4659</v>
      </c>
      <c r="BN29" s="17">
        <f>MU!BN26+UMKC!BN25+'S&amp;T'!BN18+UMSL!BN20</f>
        <v>4601</v>
      </c>
      <c r="BO29" s="17">
        <f>MU!BO26+UMKC!BO25+'S&amp;T'!BO18+UMSL!BO20</f>
        <v>4415</v>
      </c>
      <c r="BP29" s="17">
        <f>MU!BP26+UMKC!BP25+'S&amp;T'!BP18+UMSL!BP20</f>
        <v>4317</v>
      </c>
      <c r="BQ29" s="17">
        <f>MU!BQ26+UMKC!BQ25+'S&amp;T'!BQ18+UMSL!BQ20</f>
        <v>4139</v>
      </c>
      <c r="BR29" s="17">
        <f>MU!BR26+UMKC!BR25+'S&amp;T'!BR18+UMSL!BR20</f>
        <v>3973</v>
      </c>
      <c r="BS29" s="17">
        <f>MU!BS26+UMKC!BS25+'S&amp;T'!BS18+UMSL!BS20</f>
        <v>3572</v>
      </c>
      <c r="BT29" s="17">
        <f>MU!BT26+UMKC!BT25+'S&amp;T'!BT18+UMSL!BT20</f>
        <v>3425</v>
      </c>
      <c r="BU29" s="12"/>
    </row>
    <row r="30" spans="1:73" ht="13.5" customHeight="1" x14ac:dyDescent="0.2">
      <c r="A30" s="11"/>
      <c r="D30" s="2" t="s">
        <v>64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>
        <f>MU!AG27+UMKC!AG26+'S&amp;T'!AG19+UMSL!AG21</f>
        <v>1469</v>
      </c>
      <c r="AH30" s="39">
        <f>MU!AH27+UMKC!AH26+'S&amp;T'!AH19+UMSL!AH21</f>
        <v>1512</v>
      </c>
      <c r="AI30" s="39">
        <f>MU!AI27+UMKC!AI26+'S&amp;T'!AI19+UMSL!AI21</f>
        <v>1115</v>
      </c>
      <c r="AJ30" s="39">
        <f>MU!AJ27+UMKC!AJ26+'S&amp;T'!AJ19+UMSL!AJ21</f>
        <v>1055</v>
      </c>
      <c r="AK30" s="39">
        <f>MU!AK27+UMKC!AK26+'S&amp;T'!AK19+UMSL!AK21</f>
        <v>1239</v>
      </c>
      <c r="AL30" s="39">
        <f>MU!AL27+UMKC!AL26+'S&amp;T'!AL19+UMSL!AL21</f>
        <v>1112</v>
      </c>
      <c r="AM30" s="39">
        <f>MU!AM27+UMKC!AM26+'S&amp;T'!AM19+UMSL!AM21</f>
        <v>1044</v>
      </c>
      <c r="AN30" s="39">
        <f>MU!AN27+UMKC!AN26+'S&amp;T'!AN19+UMSL!AN21</f>
        <v>1239</v>
      </c>
      <c r="AO30" s="39">
        <f>MU!AO27+UMKC!AO26+'S&amp;T'!AO19+UMSL!AO21</f>
        <v>1009</v>
      </c>
      <c r="AP30" s="39">
        <f>MU!AP27+UMKC!AP26+'S&amp;T'!AP19+UMSL!AP21</f>
        <v>975</v>
      </c>
      <c r="AQ30" s="39">
        <f>MU!AQ27+UMKC!AQ26+'S&amp;T'!AQ19+UMSL!AQ21</f>
        <v>1058</v>
      </c>
      <c r="AR30" s="39">
        <f>MU!AR27+UMKC!AR26+'S&amp;T'!AR19+UMSL!AR21</f>
        <v>1066</v>
      </c>
      <c r="AS30" s="39">
        <f>MU!AS27+UMKC!AS26+'S&amp;T'!AS19+UMSL!AS21</f>
        <v>926</v>
      </c>
      <c r="AT30" s="39">
        <f>MU!AT27+UMKC!AT26+'S&amp;T'!AT19+UMSL!AT21</f>
        <v>838</v>
      </c>
      <c r="AU30" s="39">
        <f>MU!AU27+UMKC!AU26+'S&amp;T'!AU19+UMSL!AU21</f>
        <v>804</v>
      </c>
      <c r="AV30" s="39">
        <f>MU!AV27+UMKC!AV26+'S&amp;T'!AV19+UMSL!AV21</f>
        <v>780</v>
      </c>
      <c r="AW30" s="39">
        <f>MU!AW27+UMKC!AW26+'S&amp;T'!AW19+UMSL!AW21</f>
        <v>743</v>
      </c>
      <c r="AX30" s="39">
        <f>MU!AX27+UMKC!AX26+'S&amp;T'!AX19+UMSL!AX21</f>
        <v>634</v>
      </c>
      <c r="AY30" s="39">
        <f>MU!AY27+UMKC!AY26+'S&amp;T'!AY19+UMSL!AY21</f>
        <v>1218</v>
      </c>
      <c r="AZ30" s="39">
        <f>MU!AZ27+UMKC!AZ26+'S&amp;T'!AZ19+UMSL!AZ21</f>
        <v>1055</v>
      </c>
      <c r="BA30" s="39">
        <f>MU!BA27+UMKC!BA26+'S&amp;T'!BA19+UMSL!BA21</f>
        <v>802</v>
      </c>
      <c r="BB30" s="39">
        <f>MU!BB27+UMKC!BB26+'S&amp;T'!BB19+UMSL!BB21</f>
        <v>854</v>
      </c>
      <c r="BC30" s="39">
        <f>MU!BC27+UMKC!BC26+'S&amp;T'!BC19+UMSL!BC21</f>
        <v>893</v>
      </c>
      <c r="BD30" s="39">
        <f>MU!BD27+UMKC!BD26+'S&amp;T'!BD19+UMSL!BD21</f>
        <v>1216</v>
      </c>
      <c r="BE30" s="39">
        <f>MU!BE27+UMKC!BE26+'S&amp;T'!BE19+UMSL!BE21</f>
        <v>1259</v>
      </c>
      <c r="BF30" s="39">
        <f>MU!BF27+UMKC!BF26+'S&amp;T'!BF19+UMSL!BF21</f>
        <v>1127</v>
      </c>
      <c r="BG30" s="39">
        <f>MU!BG27+UMKC!BG26+'S&amp;T'!BG19+UMSL!BG21</f>
        <v>1001</v>
      </c>
      <c r="BH30" s="39">
        <f>MU!BH27+UMKC!BH26+'S&amp;T'!BH19+UMSL!BH21</f>
        <v>995</v>
      </c>
      <c r="BI30" s="39">
        <f>MU!BI27+UMKC!BI26+'S&amp;T'!BI19+UMSL!BI21</f>
        <v>1019</v>
      </c>
      <c r="BJ30" s="67">
        <f>MU!BJ27+UMKC!BJ26+'S&amp;T'!BJ19+UMSL!BJ21</f>
        <v>827</v>
      </c>
      <c r="BK30" s="39">
        <f>MU!BK27+UMKC!BK26+'S&amp;T'!BK19+UMSL!BK21</f>
        <v>876</v>
      </c>
      <c r="BL30" s="39">
        <f>MU!BL27+UMKC!BL26+'S&amp;T'!BL19+UMSL!BL21</f>
        <v>658</v>
      </c>
      <c r="BM30" s="39">
        <f>MU!BM27+UMKC!BM26+'S&amp;T'!BM19+UMSL!BM21</f>
        <v>678</v>
      </c>
      <c r="BN30" s="39">
        <f>MU!BN27+UMKC!BN26+'S&amp;T'!BN19+UMSL!BN21</f>
        <v>630</v>
      </c>
      <c r="BO30" s="39">
        <f>MU!BO27+UMKC!BO26+'S&amp;T'!BO19+UMSL!BO21</f>
        <v>696</v>
      </c>
      <c r="BP30" s="39">
        <f>MU!BP27+UMKC!BP26+'S&amp;T'!BP19+UMSL!BP21</f>
        <v>597</v>
      </c>
      <c r="BQ30" s="39">
        <f>MU!BQ27+UMKC!BQ26+'S&amp;T'!BQ19+UMSL!BQ21</f>
        <v>606</v>
      </c>
      <c r="BR30" s="39">
        <f>MU!BR27+UMKC!BR26+'S&amp;T'!BR19+UMSL!BR21</f>
        <v>515</v>
      </c>
      <c r="BS30" s="39">
        <f>MU!BS27+UMKC!BS26+'S&amp;T'!BS19+UMSL!BS21</f>
        <v>555</v>
      </c>
      <c r="BT30" s="39">
        <f>MU!BT27+UMKC!BT26+'S&amp;T'!BT19+UMSL!BT21</f>
        <v>608</v>
      </c>
      <c r="BU30" s="12"/>
    </row>
    <row r="31" spans="1:73" ht="13.5" customHeight="1" x14ac:dyDescent="0.2">
      <c r="A31" s="1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>MU!O28+UMKC!O27+'S&amp;T'!O20</f>
        <v>6139</v>
      </c>
      <c r="P31" s="17">
        <f>MU!P28+UMKC!P27+'S&amp;T'!P20</f>
        <v>6803</v>
      </c>
      <c r="Q31" s="17">
        <f>MU!Q28+UMKC!Q27+'S&amp;T'!Q20+UMSL!Q22</f>
        <v>7851</v>
      </c>
      <c r="R31" s="17">
        <f>MU!R28+UMKC!R27+'S&amp;T'!R20+UMSL!R22</f>
        <v>8428</v>
      </c>
      <c r="S31" s="17">
        <f>MU!S28+UMKC!S27+'S&amp;T'!S20+UMSL!S22</f>
        <v>9133</v>
      </c>
      <c r="T31" s="17"/>
      <c r="U31" s="17">
        <f>MU!U28+UMKC!U27+'S&amp;T'!U20+UMSL!U22</f>
        <v>8916</v>
      </c>
      <c r="V31" s="17"/>
      <c r="W31" s="17">
        <f>MU!W28+UMKC!W27+'S&amp;T'!W20+UMSL!W22</f>
        <v>9532</v>
      </c>
      <c r="X31" s="17"/>
      <c r="Y31" s="17">
        <f>MU!Y28+UMKC!Y27+'S&amp;T'!Y20+UMSL!Y22</f>
        <v>10047</v>
      </c>
      <c r="Z31" s="17"/>
      <c r="AA31" s="17">
        <f>MU!AA28+UMKC!AA27+'S&amp;T'!AA20+UMSL!AA22</f>
        <v>10441</v>
      </c>
      <c r="AB31" s="17">
        <f>MU!AB28+UMKC!AB27+'S&amp;T'!AB20+UMSL!AB22</f>
        <v>10404</v>
      </c>
      <c r="AC31" s="17">
        <f>MU!AC28+UMKC!AC27+'S&amp;T'!AC20+UMSL!AC22</f>
        <v>10978</v>
      </c>
      <c r="AD31" s="17">
        <f>MU!AD28+UMKC!AD27+'S&amp;T'!AD20+UMSL!AD22</f>
        <v>11171</v>
      </c>
      <c r="AE31" s="17">
        <f>MU!AE28+UMKC!AE27+'S&amp;T'!AE20+UMSL!AE22</f>
        <v>10761</v>
      </c>
      <c r="AF31" s="17">
        <f>MU!AF28+UMKC!AF27+'S&amp;T'!AF20+UMSL!AF22</f>
        <v>10938</v>
      </c>
      <c r="AG31" s="17">
        <f>MU!AG28+UMKC!AG27+'S&amp;T'!AG20+UMSL!AG22</f>
        <v>10874</v>
      </c>
      <c r="AH31" s="17">
        <f t="shared" ref="AH31:AN31" si="9">SUM(AH28:AH30)</f>
        <v>11012</v>
      </c>
      <c r="AI31" s="17">
        <f t="shared" si="9"/>
        <v>11185</v>
      </c>
      <c r="AJ31" s="17">
        <f t="shared" si="9"/>
        <v>11741</v>
      </c>
      <c r="AK31" s="17">
        <f t="shared" si="9"/>
        <v>11855</v>
      </c>
      <c r="AL31" s="17">
        <f t="shared" si="9"/>
        <v>12145</v>
      </c>
      <c r="AM31" s="17">
        <f t="shared" si="9"/>
        <v>12379</v>
      </c>
      <c r="AN31" s="17">
        <f t="shared" si="9"/>
        <v>12746</v>
      </c>
      <c r="AO31" s="17">
        <f t="shared" ref="AO31:BC31" si="10">SUM(AO28:AO30)</f>
        <v>12105</v>
      </c>
      <c r="AP31" s="17">
        <f t="shared" si="10"/>
        <v>11806</v>
      </c>
      <c r="AQ31" s="17">
        <f t="shared" si="10"/>
        <v>11799</v>
      </c>
      <c r="AR31" s="17">
        <f t="shared" si="10"/>
        <v>11903</v>
      </c>
      <c r="AS31" s="17">
        <f t="shared" si="10"/>
        <v>11303</v>
      </c>
      <c r="AT31" s="17">
        <f t="shared" si="10"/>
        <v>10772</v>
      </c>
      <c r="AU31" s="17">
        <f t="shared" si="10"/>
        <v>10524</v>
      </c>
      <c r="AV31" s="17">
        <f t="shared" si="10"/>
        <v>10605</v>
      </c>
      <c r="AW31" s="17">
        <f t="shared" si="10"/>
        <v>10781</v>
      </c>
      <c r="AX31" s="17">
        <f t="shared" si="10"/>
        <v>11050</v>
      </c>
      <c r="AY31" s="17">
        <f t="shared" si="10"/>
        <v>13028</v>
      </c>
      <c r="AZ31" s="17">
        <f t="shared" si="10"/>
        <v>13065</v>
      </c>
      <c r="BA31" s="17">
        <f t="shared" si="10"/>
        <v>12466</v>
      </c>
      <c r="BB31" s="17">
        <f t="shared" si="10"/>
        <v>12875</v>
      </c>
      <c r="BC31" s="17">
        <f t="shared" si="10"/>
        <v>13158</v>
      </c>
      <c r="BD31" s="17">
        <f>SUM(BD28:BD30)</f>
        <v>13846</v>
      </c>
      <c r="BE31" s="17">
        <f t="shared" ref="BE31:BJ31" si="11">SUM(BE28:BE30)</f>
        <v>14336</v>
      </c>
      <c r="BF31" s="17">
        <f t="shared" si="11"/>
        <v>15080</v>
      </c>
      <c r="BG31" s="17">
        <f t="shared" si="11"/>
        <v>15232</v>
      </c>
      <c r="BH31" s="17">
        <f t="shared" si="11"/>
        <v>15562</v>
      </c>
      <c r="BI31" s="17">
        <f t="shared" si="11"/>
        <v>15130</v>
      </c>
      <c r="BJ31" s="17">
        <f t="shared" si="11"/>
        <v>15224</v>
      </c>
      <c r="BK31" s="17">
        <f t="shared" ref="BK31:BS31" si="12">SUM(BK28:BK30)</f>
        <v>15614</v>
      </c>
      <c r="BL31" s="17">
        <f t="shared" si="12"/>
        <v>15184</v>
      </c>
      <c r="BM31" s="17">
        <f t="shared" si="12"/>
        <v>14498</v>
      </c>
      <c r="BN31" s="17">
        <f t="shared" si="12"/>
        <v>13815</v>
      </c>
      <c r="BO31" s="17">
        <f t="shared" si="12"/>
        <v>13803</v>
      </c>
      <c r="BP31" s="17">
        <f t="shared" si="12"/>
        <v>13705</v>
      </c>
      <c r="BQ31" s="17">
        <f t="shared" si="12"/>
        <v>13801</v>
      </c>
      <c r="BR31" s="17">
        <f t="shared" si="12"/>
        <v>13878</v>
      </c>
      <c r="BS31" s="17">
        <f t="shared" si="12"/>
        <v>13706</v>
      </c>
      <c r="BT31" s="17">
        <f t="shared" ref="BT31" si="13">SUM(BT28:BT30)</f>
        <v>13031</v>
      </c>
      <c r="BU31" s="12"/>
    </row>
    <row r="32" spans="1:73" ht="13.5" customHeight="1" x14ac:dyDescent="0.2">
      <c r="A32" s="11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2"/>
    </row>
    <row r="33" spans="1:75" ht="13.5" customHeight="1" x14ac:dyDescent="0.2">
      <c r="A33" s="11"/>
      <c r="C33" s="4" t="s">
        <v>71</v>
      </c>
      <c r="E33" s="17">
        <f>MU!E30+'S&amp;T'!E22</f>
        <v>4621</v>
      </c>
      <c r="F33" s="37">
        <f>MU!F30+UMKC!F29+'S&amp;T'!F22</f>
        <v>5079</v>
      </c>
      <c r="G33" s="37">
        <f>MU!G30+UMKC!G29+'S&amp;T'!G22</f>
        <v>7786</v>
      </c>
      <c r="H33" s="37">
        <f>MU!H30+UMKC!H29+'S&amp;T'!H22</f>
        <v>6830</v>
      </c>
      <c r="I33" s="37">
        <f>MU!I30+UMKC!I29+'S&amp;T'!I22</f>
        <v>13757</v>
      </c>
      <c r="J33" s="37">
        <f>MU!J30+UMKC!J29+'S&amp;T'!J22</f>
        <v>14508</v>
      </c>
      <c r="K33" s="37">
        <f>MU!K30+UMKC!K29+'S&amp;T'!K22</f>
        <v>17939</v>
      </c>
      <c r="L33" s="17"/>
      <c r="M33" s="17"/>
      <c r="N33" s="17">
        <f>MU!N30+UMKC!N29+'S&amp;T'!N22+UMSL!N24</f>
        <v>32624</v>
      </c>
      <c r="O33" s="17">
        <f>O15+O26+O31</f>
        <v>37210</v>
      </c>
      <c r="P33" s="17">
        <f>P15+P26+P31</f>
        <v>40364</v>
      </c>
      <c r="Q33" s="17">
        <f>Q15+Q26+Q31</f>
        <v>43134</v>
      </c>
      <c r="R33" s="17">
        <f>R15+R26+R31</f>
        <v>46442</v>
      </c>
      <c r="S33" s="17">
        <f>S15+S26+S31</f>
        <v>47431</v>
      </c>
      <c r="T33" s="17"/>
      <c r="U33" s="17">
        <f>U15+U26+U31</f>
        <v>47983</v>
      </c>
      <c r="V33" s="17"/>
      <c r="W33" s="17">
        <f>W15+W26+W31</f>
        <v>50092</v>
      </c>
      <c r="X33" s="17">
        <f>MU!X30+UMKC!X29+'S&amp;T'!X22+UMSL!X24</f>
        <v>52837</v>
      </c>
      <c r="Y33" s="17">
        <f>Y15+Y26+Y31</f>
        <v>51397</v>
      </c>
      <c r="Z33" s="17">
        <f>MU!Z30+UMKC!Z29+'S&amp;T'!Z22+UMSL!Z24</f>
        <v>51111</v>
      </c>
      <c r="AA33" s="17">
        <f>AA15+AA26+AA31</f>
        <v>50733</v>
      </c>
      <c r="AB33" s="17">
        <f>AB15+AB26+AB31</f>
        <v>51829</v>
      </c>
      <c r="AC33" s="17">
        <f t="shared" ref="AC33:AH33" si="14">AC15+AC26+AC31</f>
        <v>54401</v>
      </c>
      <c r="AD33" s="17">
        <f t="shared" si="14"/>
        <v>56801</v>
      </c>
      <c r="AE33" s="17">
        <f t="shared" si="14"/>
        <v>56012</v>
      </c>
      <c r="AF33" s="17">
        <f t="shared" si="14"/>
        <v>55153</v>
      </c>
      <c r="AG33" s="17">
        <f t="shared" si="14"/>
        <v>53612</v>
      </c>
      <c r="AH33" s="17">
        <f t="shared" si="14"/>
        <v>52564</v>
      </c>
      <c r="AI33" s="17">
        <f t="shared" ref="AI33:AN33" si="15">AI15+AI26+AI31</f>
        <v>52956</v>
      </c>
      <c r="AJ33" s="17">
        <f t="shared" si="15"/>
        <v>53716</v>
      </c>
      <c r="AK33" s="17">
        <f t="shared" si="15"/>
        <v>54852</v>
      </c>
      <c r="AL33" s="17">
        <f t="shared" si="15"/>
        <v>55985</v>
      </c>
      <c r="AM33" s="17">
        <f t="shared" si="15"/>
        <v>57174</v>
      </c>
      <c r="AN33" s="17">
        <f t="shared" si="15"/>
        <v>57100</v>
      </c>
      <c r="AO33" s="17">
        <f t="shared" ref="AO33:BC33" si="16">AO15+AO26+AO31</f>
        <v>54502</v>
      </c>
      <c r="AP33" s="17">
        <f t="shared" si="16"/>
        <v>53175</v>
      </c>
      <c r="AQ33" s="17">
        <f t="shared" si="16"/>
        <v>53197</v>
      </c>
      <c r="AR33" s="17">
        <f t="shared" si="16"/>
        <v>53963</v>
      </c>
      <c r="AS33" s="17">
        <f t="shared" si="16"/>
        <v>54175</v>
      </c>
      <c r="AT33" s="17">
        <f t="shared" si="16"/>
        <v>53547</v>
      </c>
      <c r="AU33" s="17">
        <f t="shared" si="16"/>
        <v>54189</v>
      </c>
      <c r="AV33" s="17">
        <f t="shared" si="16"/>
        <v>54757</v>
      </c>
      <c r="AW33" s="17">
        <f t="shared" si="16"/>
        <v>56030</v>
      </c>
      <c r="AX33" s="17">
        <f t="shared" si="16"/>
        <v>56502</v>
      </c>
      <c r="AY33" s="17">
        <f t="shared" si="16"/>
        <v>60903</v>
      </c>
      <c r="AZ33" s="17">
        <f t="shared" si="16"/>
        <v>62089</v>
      </c>
      <c r="BA33" s="17">
        <f t="shared" si="16"/>
        <v>62161</v>
      </c>
      <c r="BB33" s="17">
        <f t="shared" si="16"/>
        <v>63384</v>
      </c>
      <c r="BC33" s="17">
        <f t="shared" si="16"/>
        <v>63786</v>
      </c>
      <c r="BD33" s="17">
        <f t="shared" ref="BD33:BK33" si="17">BD15+BD26+BD31</f>
        <v>64540</v>
      </c>
      <c r="BE33" s="17">
        <f t="shared" si="17"/>
        <v>66719</v>
      </c>
      <c r="BF33" s="17">
        <f t="shared" si="17"/>
        <v>69384</v>
      </c>
      <c r="BG33" s="17">
        <f t="shared" si="17"/>
        <v>71596</v>
      </c>
      <c r="BH33" s="17">
        <f t="shared" si="17"/>
        <v>73565</v>
      </c>
      <c r="BI33" s="17">
        <f t="shared" si="17"/>
        <v>75044</v>
      </c>
      <c r="BJ33" s="17">
        <f t="shared" si="17"/>
        <v>75272</v>
      </c>
      <c r="BK33" s="17">
        <f t="shared" si="17"/>
        <v>77283</v>
      </c>
      <c r="BL33" s="17">
        <f t="shared" ref="BL33:BQ33" si="18">BL15+BL26+BL31</f>
        <v>77733</v>
      </c>
      <c r="BM33" s="17">
        <f t="shared" si="18"/>
        <v>75999</v>
      </c>
      <c r="BN33" s="17">
        <f t="shared" si="18"/>
        <v>72814</v>
      </c>
      <c r="BO33" s="17">
        <f t="shared" si="18"/>
        <v>71260</v>
      </c>
      <c r="BP33" s="17">
        <f t="shared" si="18"/>
        <v>70478</v>
      </c>
      <c r="BQ33" s="17">
        <f t="shared" si="18"/>
        <v>68752</v>
      </c>
      <c r="BR33" s="17">
        <f>BR15+BR26+BR31</f>
        <v>69834</v>
      </c>
      <c r="BS33" s="17">
        <f>BS15+BS26+BS31</f>
        <v>69268</v>
      </c>
      <c r="BT33" s="17">
        <f>BT15+BT26+BT31</f>
        <v>68246</v>
      </c>
      <c r="BU33" s="12"/>
      <c r="BW33" s="62"/>
    </row>
    <row r="34" spans="1:75" ht="13.5" customHeight="1" x14ac:dyDescent="0.2">
      <c r="A34" s="11"/>
      <c r="E34" s="17"/>
      <c r="F34" s="37"/>
      <c r="G34" s="37" t="s">
        <v>87</v>
      </c>
      <c r="H34" s="37"/>
      <c r="I34" s="37"/>
      <c r="J34" s="37"/>
      <c r="K34" s="3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2"/>
    </row>
    <row r="35" spans="1:75" ht="13.5" customHeight="1" x14ac:dyDescent="0.2">
      <c r="A35" s="11"/>
      <c r="B35" s="58" t="s">
        <v>72</v>
      </c>
      <c r="C35" s="55"/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12"/>
    </row>
    <row r="36" spans="1:75" ht="13.5" customHeight="1" x14ac:dyDescent="0.2">
      <c r="A36" s="11"/>
      <c r="D36" s="2" t="s">
        <v>62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>MU!O33+UMKC!O32+'S&amp;T'!O25+UMSL!O27</f>
        <v>27404</v>
      </c>
      <c r="P36" s="17">
        <f>MU!P33+UMKC!P32+'S&amp;T'!P25+UMSL!P27</f>
        <v>29608</v>
      </c>
      <c r="Q36" s="17">
        <f>MU!Q33+UMKC!Q32+'S&amp;T'!Q25+UMSL!Q27</f>
        <v>31327</v>
      </c>
      <c r="R36" s="17">
        <f>MU!R33+UMKC!R32+'S&amp;T'!R25+UMSL!R27</f>
        <v>33550</v>
      </c>
      <c r="S36" s="17"/>
      <c r="T36" s="17"/>
      <c r="U36" s="17"/>
      <c r="V36" s="17"/>
      <c r="W36" s="17"/>
      <c r="X36" s="17"/>
      <c r="Y36" s="17"/>
      <c r="Z36" s="17"/>
      <c r="AA36" s="17">
        <f>MU!AA33+UMKC!AA32+'S&amp;T'!AA25+UMSL!AA27</f>
        <v>32879</v>
      </c>
      <c r="AB36" s="17">
        <f>MU!AB33+UMKC!AB32+'S&amp;T'!AB25+UMSL!AB27</f>
        <v>33554</v>
      </c>
      <c r="AC36" s="17">
        <f>MU!AC33+UMKC!AC32+'S&amp;T'!AC25+UMSL!AC27</f>
        <v>35442</v>
      </c>
      <c r="AD36" s="17">
        <f>MU!AD33+UMKC!AD32+'S&amp;T'!AD25+UMSL!AD27</f>
        <v>36890</v>
      </c>
      <c r="AE36" s="17">
        <f>MU!AE33+UMKC!AE32+'S&amp;T'!AE25+UMSL!AE27</f>
        <v>36806</v>
      </c>
      <c r="AF36" s="17">
        <f>MU!AF33+UMKC!AF32+'S&amp;T'!AF25+UMSL!AF27</f>
        <v>35521</v>
      </c>
      <c r="AG36" s="17">
        <f>MU!AG33+UMKC!AG32+'S&amp;T'!AG25+UMSL!AG27</f>
        <v>33985</v>
      </c>
      <c r="AH36" s="17">
        <f>MU!AH33+UMKC!AH32+'S&amp;T'!AH25+UMSL!AH27</f>
        <v>32667</v>
      </c>
      <c r="AI36" s="17">
        <f>MU!AI33+UMKC!AI32+'S&amp;T'!AI25+UMSL!AI27</f>
        <v>31747</v>
      </c>
      <c r="AJ36" s="17">
        <f>MU!AJ33+UMKC!AJ32+'S&amp;T'!AJ25+UMSL!AJ27</f>
        <v>31484</v>
      </c>
      <c r="AK36" s="17">
        <f>MU!AK33+UMKC!AK32+'S&amp;T'!AK25+UMSL!AK27</f>
        <v>31893</v>
      </c>
      <c r="AL36" s="17">
        <f>MU!AL33+UMKC!AL32+'S&amp;T'!AL25+UMSL!AL27</f>
        <v>32534</v>
      </c>
      <c r="AM36" s="17">
        <f>MU!AM33+UMKC!AM32+'S&amp;T'!AM25+UMSL!AM27</f>
        <v>32937</v>
      </c>
      <c r="AN36" s="17">
        <f>MU!AN33+UMKC!AN32+'S&amp;T'!AN25+UMSL!AN27</f>
        <v>32585</v>
      </c>
      <c r="AO36" s="17">
        <f>MU!AO33+UMKC!AO32+'S&amp;T'!AO25+UMSL!AO27</f>
        <v>30856.400000000001</v>
      </c>
      <c r="AP36" s="17">
        <f>MU!AP33+UMKC!AP32+'S&amp;T'!AP25+UMSL!AP27</f>
        <v>29732.100000000002</v>
      </c>
      <c r="AQ36" s="17">
        <f>MU!AQ33+UMKC!AQ32+'S&amp;T'!AQ25+UMSL!AQ27</f>
        <v>29883.600000000002</v>
      </c>
      <c r="AR36" s="17">
        <f>MU!AR33+UMKC!AR32+'S&amp;T'!AR25+UMSL!AR27</f>
        <v>30484.200000000004</v>
      </c>
      <c r="AS36" s="17">
        <f>MU!AS33+UMKC!AS32+'S&amp;T'!AS25+UMSL!AS27</f>
        <v>31097.499999999996</v>
      </c>
      <c r="AT36" s="17">
        <f>MU!AT33+UMKC!AT32+'S&amp;T'!AT25+UMSL!AT27</f>
        <v>31047.100000000006</v>
      </c>
      <c r="AU36" s="17">
        <f>MU!AU33+UMKC!AU32+'S&amp;T'!AU25+UMSL!AU27</f>
        <v>31786.600000000002</v>
      </c>
      <c r="AV36" s="17">
        <f>MU!AV33+UMKC!AV32+'S&amp;T'!AV25+UMSL!AV27</f>
        <v>31967.7</v>
      </c>
      <c r="AW36" s="17">
        <f>MU!AW33+UMKC!AW32+'S&amp;T'!AW25+UMSL!AW27</f>
        <v>32483.000000000004</v>
      </c>
      <c r="AX36" s="17">
        <f>MU!AX33+UMKC!AX32+'S&amp;T'!AX25+UMSL!AX27</f>
        <v>33063.399999999994</v>
      </c>
      <c r="AY36" s="17">
        <f>MU!AY33+UMKC!AY32+'S&amp;T'!AY25+UMSL!AY27</f>
        <v>34808.9</v>
      </c>
      <c r="AZ36" s="17">
        <f>MU!AZ33+UMKC!AZ32+'S&amp;T'!AZ25+UMSL!AZ27</f>
        <v>35941.800000000003</v>
      </c>
      <c r="BA36" s="17">
        <f>MU!BA33+UMKC!BA32+'S&amp;T'!BA25+UMSL!BA27</f>
        <v>36884.199999999997</v>
      </c>
      <c r="BB36" s="17">
        <f>MU!BB33+UMKC!BB32+'S&amp;T'!BB25+UMSL!BB27</f>
        <v>37927.299999999996</v>
      </c>
      <c r="BC36" s="17">
        <f>MU!BC33+UMKC!BC32+'S&amp;T'!BC25+UMSL!BC27</f>
        <v>38380.700000000004</v>
      </c>
      <c r="BD36" s="17">
        <f>MU!BD33+UMKC!BD32+'S&amp;T'!BD25+UMSL!BD27</f>
        <v>38641.4</v>
      </c>
      <c r="BE36" s="17">
        <f>MU!BE33+UMKC!BE32+'S&amp;T'!BE25+UMSL!BE27</f>
        <v>40293.9</v>
      </c>
      <c r="BF36" s="17">
        <f>MU!BF33+UMKC!BF32+'S&amp;T'!BF25+UMSL!BF27</f>
        <v>41973.599999999999</v>
      </c>
      <c r="BG36" s="17">
        <f>MU!BG33+UMKC!BG32+'S&amp;T'!BG25+UMSL!BG27</f>
        <v>43737.299999999996</v>
      </c>
      <c r="BH36" s="17">
        <f>MU!BH33+UMKC!BH32+'S&amp;T'!BH25+UMSL!BH27</f>
        <v>44940.399999999994</v>
      </c>
      <c r="BI36" s="17">
        <f>MU!BI33+UMKC!BI32+'S&amp;T'!BI25+UMSL!BI27</f>
        <v>46107.199999999997</v>
      </c>
      <c r="BJ36" s="17">
        <f>MU!BJ33+UMKC!BJ32+'S&amp;T'!BJ25+UMSL!BJ27</f>
        <v>46333.599999999999</v>
      </c>
      <c r="BK36" s="17">
        <f>MU!BK33+UMKC!BK32+'S&amp;T'!BK25+UMSL!BK27</f>
        <v>47442.5</v>
      </c>
      <c r="BL36" s="17">
        <f>MU!BL33+UMKC!BL32+'S&amp;T'!BL25+UMSL!BL27</f>
        <v>47840.2</v>
      </c>
      <c r="BM36" s="17">
        <f>MU!BM33+UMKC!BM32+'S&amp;T'!BM25+UMSL!BM27</f>
        <v>46201.8</v>
      </c>
      <c r="BN36" s="17">
        <f>MU!BN33+UMKC!BN32+'S&amp;T'!BN25+UMSL!BN27</f>
        <v>44247.899999999994</v>
      </c>
      <c r="BO36" s="17">
        <f>MU!BO33+UMKC!BO32+'S&amp;T'!BO25+UMSL!BO27</f>
        <v>42406.399999999994</v>
      </c>
      <c r="BP36" s="17">
        <f>MU!BP33+UMKC!BP32+'S&amp;T'!BP25+UMSL!BP27</f>
        <v>41575.200000000004</v>
      </c>
      <c r="BQ36" s="17">
        <f>MU!BQ33+UMKC!BQ32+'S&amp;T'!BQ25+UMSL!BQ27</f>
        <v>40950.700000000004</v>
      </c>
      <c r="BR36" s="17">
        <f>MU!BR33+UMKC!BR32+'S&amp;T'!BR25+UMSL!BR27</f>
        <v>40781.4</v>
      </c>
      <c r="BS36" s="17">
        <f>MU!BS33+UMKC!BS32+'S&amp;T'!BS25+UMSL!BS27</f>
        <v>40289.5</v>
      </c>
      <c r="BT36" s="17">
        <f>MU!BT33+UMKC!BT32+'S&amp;T'!BT25+UMSL!BT27</f>
        <v>40723.799999999996</v>
      </c>
      <c r="BU36" s="12"/>
    </row>
    <row r="37" spans="1:75" ht="13.5" customHeight="1" x14ac:dyDescent="0.2">
      <c r="A37" s="11"/>
      <c r="D37" s="2" t="s">
        <v>65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>
        <f>MU!O34+UMKC!O33</f>
        <v>1286</v>
      </c>
      <c r="P37" s="17">
        <f>MU!P34+UMKC!P33</f>
        <v>1342</v>
      </c>
      <c r="Q37" s="17">
        <f>MU!Q34+UMKC!Q33</f>
        <v>1383</v>
      </c>
      <c r="R37" s="17">
        <f>MU!R34+UMKC!R33</f>
        <v>1449</v>
      </c>
      <c r="S37" s="17"/>
      <c r="T37" s="17"/>
      <c r="U37" s="17"/>
      <c r="V37" s="17"/>
      <c r="W37" s="17"/>
      <c r="X37" s="17"/>
      <c r="Y37" s="17"/>
      <c r="Z37" s="17"/>
      <c r="AA37" s="17">
        <f>MU!AA34+UMKC!AA33</f>
        <v>2571</v>
      </c>
      <c r="AB37" s="17">
        <f>MU!AB34+UMKC!AB33+UMSL!AB28</f>
        <v>2629</v>
      </c>
      <c r="AC37" s="17">
        <f>MU!AC34+UMKC!AC33+UMSL!AC28</f>
        <v>2632</v>
      </c>
      <c r="AD37" s="17">
        <f>MU!AD34+UMKC!AD33+UMSL!AD28</f>
        <v>2701</v>
      </c>
      <c r="AE37" s="17">
        <f>MU!AE34+UMKC!AE33+UMSL!AE28</f>
        <v>2676</v>
      </c>
      <c r="AF37" s="17">
        <f>MU!AF34+UMKC!AF33+UMSL!AF28</f>
        <v>2682</v>
      </c>
      <c r="AG37" s="17">
        <f>MU!AG34+UMKC!AG33+UMSL!AG28</f>
        <v>2630</v>
      </c>
      <c r="AH37" s="17">
        <f>MU!AH34+UMKC!AH33+UMSL!AH28</f>
        <v>2594</v>
      </c>
      <c r="AI37" s="17">
        <f>MU!AI34+UMKC!AI33+UMSL!AI28</f>
        <v>2539</v>
      </c>
      <c r="AJ37" s="17">
        <f>MU!AJ34+UMKC!AJ33+UMSL!AJ28</f>
        <v>2584</v>
      </c>
      <c r="AK37" s="17">
        <f>MU!AK34+UMKC!AK33+UMSL!AK28</f>
        <v>2591</v>
      </c>
      <c r="AL37" s="17">
        <f>MU!AL34+UMKC!AL33+UMSL!AL28</f>
        <v>2565</v>
      </c>
      <c r="AM37" s="17">
        <f>MU!AM34+UMKC!AM33+UMSL!AM28</f>
        <v>2586</v>
      </c>
      <c r="AN37" s="17">
        <f>MU!AN34+UMKC!AN33+UMSL!AN28</f>
        <v>2520</v>
      </c>
      <c r="AO37" s="17">
        <f>MU!AO34+UMKC!AO33+UMSL!AO28</f>
        <v>2472</v>
      </c>
      <c r="AP37" s="17">
        <f>MU!AP34+UMKC!AP33+UMSL!AP28</f>
        <v>2458</v>
      </c>
      <c r="AQ37" s="17">
        <f>MU!AQ34+UMKC!AQ33+UMSL!AQ28</f>
        <v>2465</v>
      </c>
      <c r="AR37" s="17">
        <f>MU!AR34+UMKC!AR33+UMSL!AR28</f>
        <v>2434</v>
      </c>
      <c r="AS37" s="17">
        <f>MU!AS34+UMKC!AS33+UMSL!AS28</f>
        <v>2487</v>
      </c>
      <c r="AT37" s="17">
        <f>MU!AT34+UMKC!AT33+UMSL!AT28</f>
        <v>2539</v>
      </c>
      <c r="AU37" s="17">
        <f>MU!AU34+UMKC!AU33+UMSL!AU28</f>
        <v>2616</v>
      </c>
      <c r="AV37" s="17">
        <f>MU!AV34+UMKC!AV33+UMSL!AV28</f>
        <v>2653</v>
      </c>
      <c r="AW37" s="17">
        <f>MU!AW34+UMKC!AW33+UMSL!AW28</f>
        <v>2650</v>
      </c>
      <c r="AX37" s="17">
        <f>MU!AX34+UMKC!AX33+UMSL!AX28</f>
        <v>2653</v>
      </c>
      <c r="AY37" s="17">
        <f>MU!AY34+UMKC!AY33+UMSL!AY28</f>
        <v>2670</v>
      </c>
      <c r="AZ37" s="17">
        <f>MU!AZ34+UMKC!AZ33+UMSL!AZ28</f>
        <v>2683</v>
      </c>
      <c r="BA37" s="17">
        <f>MU!BA34+UMKC!BA33+UMSL!BA28</f>
        <v>2681</v>
      </c>
      <c r="BB37" s="17">
        <f>MU!BB34+UMKC!BB33+UMSL!BB28</f>
        <v>2730.1</v>
      </c>
      <c r="BC37" s="17">
        <f>MU!BC34+UMKC!BC33+UMSL!BC28</f>
        <v>2754.3</v>
      </c>
      <c r="BD37" s="17">
        <f>MU!BD34+UMKC!BD33+UMSL!BD28</f>
        <v>2799.3999999999996</v>
      </c>
      <c r="BE37" s="17">
        <f>MU!BE34+UMKC!BE33+UMSL!BE28</f>
        <v>2840.8999999999996</v>
      </c>
      <c r="BF37" s="17">
        <f>MU!BF34+UMKC!BF33+UMSL!BF28</f>
        <v>2917.1000000000004</v>
      </c>
      <c r="BG37" s="17">
        <f>MU!BG34+UMKC!BG33+UMSL!BG28</f>
        <v>2964</v>
      </c>
      <c r="BH37" s="17">
        <f>MU!BH34+UMKC!BH33+UMSL!BH28</f>
        <v>3025.5</v>
      </c>
      <c r="BI37" s="17">
        <f>MU!BI34+UMKC!BI33+UMSL!BI28</f>
        <v>3122.5</v>
      </c>
      <c r="BJ37" s="17">
        <f>MU!BJ34+UMKC!BJ33+UMSL!BJ28</f>
        <v>3133.0000000000005</v>
      </c>
      <c r="BK37" s="17">
        <f>MU!BK34+UMKC!BK33+UMSL!BK28</f>
        <v>3136.6000000000004</v>
      </c>
      <c r="BL37" s="17">
        <f>MU!BL34+UMKC!BL33+UMSL!BL28</f>
        <v>3086.5999999999995</v>
      </c>
      <c r="BM37" s="17">
        <f>MU!BM34+UMKC!BM33+UMSL!BM28</f>
        <v>3077.3999999999996</v>
      </c>
      <c r="BN37" s="17">
        <f>MU!BN34+UMKC!BN33+UMSL!BN28</f>
        <v>3073.9</v>
      </c>
      <c r="BO37" s="17">
        <f>MU!BO34+UMKC!BO33+UMSL!BO28</f>
        <v>3308.5</v>
      </c>
      <c r="BP37" s="17">
        <f>MU!BP34+UMKC!BP33+UMSL!BP28</f>
        <v>3362.2</v>
      </c>
      <c r="BQ37" s="17">
        <f>MU!BQ34+UMKC!BQ33+UMSL!BQ28</f>
        <v>3448.7000000000007</v>
      </c>
      <c r="BR37" s="17">
        <f>MU!BR34+UMKC!BR33+UMSL!BR28</f>
        <v>3474.3999999999996</v>
      </c>
      <c r="BS37" s="17">
        <f>MU!BS34+UMKC!BS33+UMSL!BS28</f>
        <v>3603.5</v>
      </c>
      <c r="BT37" s="17">
        <f>MU!BT34+UMKC!BT33+UMSL!BT28</f>
        <v>3653.2</v>
      </c>
      <c r="BU37" s="12"/>
    </row>
    <row r="38" spans="1:75" ht="13.5" customHeight="1" x14ac:dyDescent="0.2">
      <c r="A38" s="11"/>
      <c r="D38" s="2" t="s">
        <v>69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>
        <f>MU!O35+UMKC!O34+'S&amp;T'!O26</f>
        <v>4213</v>
      </c>
      <c r="P38" s="18">
        <f>MU!P35+UMKC!P34+'S&amp;T'!P26</f>
        <v>4906</v>
      </c>
      <c r="Q38" s="18">
        <f>MU!Q35+UMKC!Q34+'S&amp;T'!Q26+UMSL!Q29</f>
        <v>5533</v>
      </c>
      <c r="R38" s="18">
        <f>MU!R35+UMKC!R34+'S&amp;T'!R26+UMSL!R29</f>
        <v>6115</v>
      </c>
      <c r="S38" s="39"/>
      <c r="T38" s="39"/>
      <c r="U38" s="39"/>
      <c r="V38" s="39"/>
      <c r="W38" s="39"/>
      <c r="X38" s="39"/>
      <c r="Y38" s="39"/>
      <c r="Z38" s="39"/>
      <c r="AA38" s="18">
        <f>MU!AA35+UMKC!AA34+'S&amp;T'!AA26+UMSL!AA29</f>
        <v>5555</v>
      </c>
      <c r="AB38" s="18">
        <f>MU!AB35+UMKC!AB34+'S&amp;T'!AB26+UMSL!AB29</f>
        <v>5568</v>
      </c>
      <c r="AC38" s="18">
        <f>MU!AC35+UMKC!AC34+'S&amp;T'!AC26+UMSL!AC29</f>
        <v>5867</v>
      </c>
      <c r="AD38" s="18">
        <f>MU!AD35+UMKC!AD34+'S&amp;T'!AD26+UMSL!AD29</f>
        <v>5808</v>
      </c>
      <c r="AE38" s="18">
        <f>MU!AE35+UMKC!AE34+'S&amp;T'!AE26+UMSL!AE29</f>
        <v>5434</v>
      </c>
      <c r="AF38" s="18">
        <f>MU!AF35+UMKC!AF34+'S&amp;T'!AF26+UMSL!AF29</f>
        <v>5512</v>
      </c>
      <c r="AG38" s="18">
        <f>MU!AG35+UMKC!AG34+'S&amp;T'!AG26+UMSL!AG29</f>
        <v>5360</v>
      </c>
      <c r="AH38" s="18">
        <f>MU!AH35+UMKC!AH34+'S&amp;T'!AH26+UMSL!AH29</f>
        <v>5391</v>
      </c>
      <c r="AI38" s="18">
        <f>MU!AI35+UMKC!AI34+'S&amp;T'!AI26+UMSL!AI29</f>
        <v>5396</v>
      </c>
      <c r="AJ38" s="18">
        <f>MU!AJ35+UMKC!AJ34+'S&amp;T'!AJ26+UMSL!AJ29</f>
        <v>5727</v>
      </c>
      <c r="AK38" s="18">
        <f>MU!AK35+UMKC!AK34+'S&amp;T'!AK26+UMSL!AK29</f>
        <v>5754</v>
      </c>
      <c r="AL38" s="18">
        <f>MU!AL35+UMKC!AL34+'S&amp;T'!AL26+UMSL!AL29</f>
        <v>5912</v>
      </c>
      <c r="AM38" s="18">
        <f>MU!AM35+UMKC!AM34+'S&amp;T'!AM26+UMSL!AM29</f>
        <v>6017</v>
      </c>
      <c r="AN38" s="18">
        <f>MU!AN35+UMKC!AN34+'S&amp;T'!AN26+UMSL!AN29</f>
        <v>6216</v>
      </c>
      <c r="AO38" s="18">
        <f>MU!AO35+UMKC!AO34+'S&amp;T'!AO26+UMSL!AO29</f>
        <v>5988.9000000000005</v>
      </c>
      <c r="AP38" s="18">
        <f>MU!AP35+UMKC!AP34+'S&amp;T'!AP26+UMSL!AP29</f>
        <v>5843.8</v>
      </c>
      <c r="AQ38" s="18">
        <f>MU!AQ35+UMKC!AQ34+'S&amp;T'!AQ26+UMSL!AQ29</f>
        <v>5761.2</v>
      </c>
      <c r="AR38" s="18">
        <f>MU!AR35+UMKC!AR34+'S&amp;T'!AR26+UMSL!AR29</f>
        <v>5914.2</v>
      </c>
      <c r="AS38" s="18">
        <f>MU!AS35+UMKC!AS34+'S&amp;T'!AS26+UMSL!AS29</f>
        <v>5632.1999999999989</v>
      </c>
      <c r="AT38" s="18">
        <f>MU!AT35+UMKC!AT34+'S&amp;T'!AT26+UMSL!AT29</f>
        <v>5416.1999999999989</v>
      </c>
      <c r="AU38" s="18">
        <f>MU!AU35+UMKC!AU34+'S&amp;T'!AU26+UMSL!AU29</f>
        <v>5345.9</v>
      </c>
      <c r="AV38" s="18">
        <f>MU!AV35+UMKC!AV34+'S&amp;T'!AV26+UMSL!AV29</f>
        <v>5510.8000000000011</v>
      </c>
      <c r="AW38" s="18">
        <f>MU!AW35+UMKC!AW34+'S&amp;T'!AW26+UMSL!AW29</f>
        <v>5850.5999999999995</v>
      </c>
      <c r="AX38" s="18">
        <f>MU!AX35+UMKC!AX34+'S&amp;T'!AX26+UMSL!AX29</f>
        <v>5954.2999999999993</v>
      </c>
      <c r="AY38" s="18">
        <f>MU!AY35+UMKC!AY34+'S&amp;T'!AY26+UMSL!AY29</f>
        <v>7022.4</v>
      </c>
      <c r="AZ38" s="18">
        <f>MU!AZ35+UMKC!AZ34+'S&amp;T'!AZ26+UMSL!AZ29</f>
        <v>7051.5</v>
      </c>
      <c r="BA38" s="18">
        <f>MU!BA35+UMKC!BA34+'S&amp;T'!BA26+UMSL!BA29</f>
        <v>6799.4</v>
      </c>
      <c r="BB38" s="18">
        <f>MU!BB35+UMKC!BB34+'S&amp;T'!BB26+UMSL!BB29</f>
        <v>7094.7</v>
      </c>
      <c r="BC38" s="18">
        <f>MU!BC35+UMKC!BC34+'S&amp;T'!BC26+UMSL!BC29</f>
        <v>7299.4000000000005</v>
      </c>
      <c r="BD38" s="18">
        <f>MU!BD35+UMKC!BD34+'S&amp;T'!BD26+UMSL!BD29</f>
        <v>7553.1999999999989</v>
      </c>
      <c r="BE38" s="18">
        <f>MU!BE35+UMKC!BE34+'S&amp;T'!BE26+UMSL!BE29</f>
        <v>7889.9</v>
      </c>
      <c r="BF38" s="18">
        <f>MU!BF35+UMKC!BF34+'S&amp;T'!BF26+UMSL!BF29</f>
        <v>8401.2999999999993</v>
      </c>
      <c r="BG38" s="18">
        <f>MU!BG35+UMKC!BG34+'S&amp;T'!BG26+UMSL!BG29</f>
        <v>8570.3999999999978</v>
      </c>
      <c r="BH38" s="18">
        <f>MU!BH35+UMKC!BH34+'S&amp;T'!BH26+UMSL!BH29</f>
        <v>8876.6</v>
      </c>
      <c r="BI38" s="18">
        <f>MU!BI35+UMKC!BI34+'S&amp;T'!BI26+UMSL!BI29</f>
        <v>8576.4</v>
      </c>
      <c r="BJ38" s="18">
        <f>MU!BJ35+UMKC!BJ34+'S&amp;T'!BJ26+UMSL!BJ29</f>
        <v>8695.9000000000015</v>
      </c>
      <c r="BK38" s="18">
        <f>MU!BK35+UMKC!BK34+'S&amp;T'!BK26+UMSL!BK29</f>
        <v>8986.1999999999989</v>
      </c>
      <c r="BL38" s="18">
        <f>MU!BL35+UMKC!BL34+'S&amp;T'!BL26+UMSL!BL29</f>
        <v>8888.7000000000007</v>
      </c>
      <c r="BM38" s="18">
        <f>MU!BM35+UMKC!BM34+'S&amp;T'!BM26+UMSL!BM29</f>
        <v>8505.4</v>
      </c>
      <c r="BN38" s="18">
        <f>MU!BN35+UMKC!BN34+'S&amp;T'!BN26+UMSL!BN29</f>
        <v>8028.5000000000009</v>
      </c>
      <c r="BO38" s="18">
        <f>MU!BO35+UMKC!BO34+'S&amp;T'!BO26+UMSL!BO29</f>
        <v>7794.5</v>
      </c>
      <c r="BP38" s="18">
        <f>MU!BP35+UMKC!BP34+'S&amp;T'!BP26+UMSL!BP29</f>
        <v>7671.9000000000005</v>
      </c>
      <c r="BQ38" s="18">
        <f>MU!BQ35+UMKC!BQ34+'S&amp;T'!BQ26+UMSL!BQ29</f>
        <v>7567.1</v>
      </c>
      <c r="BR38" s="18">
        <f>MU!BR35+UMKC!BR34+'S&amp;T'!BR26+UMSL!BR29</f>
        <v>7650</v>
      </c>
      <c r="BS38" s="18">
        <f>MU!BS35+UMKC!BS34+'S&amp;T'!BS26+UMSL!BS29</f>
        <v>7733.8000000000011</v>
      </c>
      <c r="BT38" s="18">
        <f>MU!BT35+UMKC!BT34+'S&amp;T'!BT26+UMSL!BT29</f>
        <v>7389.8</v>
      </c>
      <c r="BU38" s="12"/>
    </row>
    <row r="39" spans="1:75" ht="13.5" customHeight="1" x14ac:dyDescent="0.2">
      <c r="A39" s="1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>
        <f>SUM(O36:O38)</f>
        <v>32903</v>
      </c>
      <c r="P39" s="17">
        <f>SUM(P36:P38)</f>
        <v>35856</v>
      </c>
      <c r="Q39" s="17">
        <f>SUM(Q36:Q38)</f>
        <v>38243</v>
      </c>
      <c r="R39" s="17">
        <f>SUM(R36:R38)</f>
        <v>41114</v>
      </c>
      <c r="S39" s="17"/>
      <c r="T39" s="17"/>
      <c r="U39" s="17"/>
      <c r="V39" s="17"/>
      <c r="W39" s="17">
        <f>MU!W36+UMKC!W35+'S&amp;T'!W27+UMSL!W30</f>
        <v>42622</v>
      </c>
      <c r="X39" s="17">
        <f>MU!X36+UMKC!X35+'S&amp;T'!X27+UMSL!X30</f>
        <v>43065</v>
      </c>
      <c r="Y39" s="17">
        <f>MU!Y36+UMKC!Y35+'S&amp;T'!Y27+UMSL!Y30</f>
        <v>42506</v>
      </c>
      <c r="Z39" s="17">
        <f>MU!Z36+UMKC!Z35+'S&amp;T'!Z27+UMSL!Z30</f>
        <v>42063</v>
      </c>
      <c r="AA39" s="17">
        <f>SUM(AA36:AA38)</f>
        <v>41005</v>
      </c>
      <c r="AB39" s="17">
        <f>SUM(AB36:AB38)</f>
        <v>41751</v>
      </c>
      <c r="AC39" s="17">
        <f t="shared" ref="AC39:AH39" si="19">SUM(AC36:AC38)</f>
        <v>43941</v>
      </c>
      <c r="AD39" s="17">
        <f t="shared" si="19"/>
        <v>45399</v>
      </c>
      <c r="AE39" s="17">
        <f t="shared" si="19"/>
        <v>44916</v>
      </c>
      <c r="AF39" s="17">
        <f t="shared" si="19"/>
        <v>43715</v>
      </c>
      <c r="AG39" s="17">
        <f t="shared" si="19"/>
        <v>41975</v>
      </c>
      <c r="AH39" s="17">
        <f t="shared" si="19"/>
        <v>40652</v>
      </c>
      <c r="AI39" s="17">
        <f t="shared" ref="AI39:AN39" si="20">SUM(AI36:AI38)</f>
        <v>39682</v>
      </c>
      <c r="AJ39" s="17">
        <f t="shared" si="20"/>
        <v>39795</v>
      </c>
      <c r="AK39" s="17">
        <f t="shared" si="20"/>
        <v>40238</v>
      </c>
      <c r="AL39" s="17">
        <f t="shared" si="20"/>
        <v>41011</v>
      </c>
      <c r="AM39" s="17">
        <f t="shared" si="20"/>
        <v>41540</v>
      </c>
      <c r="AN39" s="17">
        <f t="shared" si="20"/>
        <v>41321</v>
      </c>
      <c r="AO39" s="17">
        <f t="shared" ref="AO39:BC39" si="21">SUM(AO36:AO38)</f>
        <v>39317.300000000003</v>
      </c>
      <c r="AP39" s="17">
        <f t="shared" si="21"/>
        <v>38033.9</v>
      </c>
      <c r="AQ39" s="17">
        <f t="shared" si="21"/>
        <v>38109.800000000003</v>
      </c>
      <c r="AR39" s="17">
        <f t="shared" si="21"/>
        <v>38832.400000000001</v>
      </c>
      <c r="AS39" s="17">
        <f t="shared" si="21"/>
        <v>39216.699999999997</v>
      </c>
      <c r="AT39" s="17">
        <f t="shared" si="21"/>
        <v>39002.300000000003</v>
      </c>
      <c r="AU39" s="17">
        <f t="shared" si="21"/>
        <v>39748.500000000007</v>
      </c>
      <c r="AV39" s="17">
        <f t="shared" si="21"/>
        <v>40131.5</v>
      </c>
      <c r="AW39" s="17">
        <f t="shared" si="21"/>
        <v>40983.599999999999</v>
      </c>
      <c r="AX39" s="17">
        <f t="shared" si="21"/>
        <v>41670.699999999997</v>
      </c>
      <c r="AY39" s="17">
        <f t="shared" si="21"/>
        <v>44501.3</v>
      </c>
      <c r="AZ39" s="17">
        <f t="shared" si="21"/>
        <v>45676.3</v>
      </c>
      <c r="BA39" s="17">
        <f t="shared" si="21"/>
        <v>46364.6</v>
      </c>
      <c r="BB39" s="17">
        <f t="shared" si="21"/>
        <v>47752.099999999991</v>
      </c>
      <c r="BC39" s="17">
        <f t="shared" si="21"/>
        <v>48434.400000000009</v>
      </c>
      <c r="BD39" s="17">
        <f t="shared" ref="BD39:BS39" si="22">SUM(BD36:BD38)</f>
        <v>48994</v>
      </c>
      <c r="BE39" s="17">
        <f t="shared" si="22"/>
        <v>51024.700000000004</v>
      </c>
      <c r="BF39" s="17">
        <f t="shared" si="22"/>
        <v>53292</v>
      </c>
      <c r="BG39" s="17">
        <f t="shared" si="22"/>
        <v>55271.7</v>
      </c>
      <c r="BH39" s="17">
        <f t="shared" si="22"/>
        <v>56842.499999999993</v>
      </c>
      <c r="BI39" s="17">
        <f t="shared" si="22"/>
        <v>57806.1</v>
      </c>
      <c r="BJ39" s="17">
        <f t="shared" si="22"/>
        <v>58162.5</v>
      </c>
      <c r="BK39" s="17">
        <f t="shared" si="22"/>
        <v>59565.299999999996</v>
      </c>
      <c r="BL39" s="17">
        <f t="shared" si="22"/>
        <v>59815.5</v>
      </c>
      <c r="BM39" s="17">
        <f t="shared" si="22"/>
        <v>57784.600000000006</v>
      </c>
      <c r="BN39" s="17">
        <f t="shared" si="22"/>
        <v>55350.299999999996</v>
      </c>
      <c r="BO39" s="17">
        <f t="shared" si="22"/>
        <v>53509.399999999994</v>
      </c>
      <c r="BP39" s="17">
        <f t="shared" si="22"/>
        <v>52609.3</v>
      </c>
      <c r="BQ39" s="17">
        <f t="shared" si="22"/>
        <v>51966.500000000007</v>
      </c>
      <c r="BR39" s="17">
        <f t="shared" si="22"/>
        <v>51905.8</v>
      </c>
      <c r="BS39" s="17">
        <f t="shared" si="22"/>
        <v>51626.8</v>
      </c>
      <c r="BT39" s="17">
        <f t="shared" ref="BT39" si="23">SUM(BT36:BT38)</f>
        <v>51766.799999999996</v>
      </c>
      <c r="BU39" s="12"/>
      <c r="BW39" s="62"/>
    </row>
    <row r="40" spans="1:75" ht="13.5" customHeight="1" x14ac:dyDescent="0.2">
      <c r="A40" s="1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2"/>
    </row>
    <row r="41" spans="1:75" ht="13.5" customHeight="1" x14ac:dyDescent="0.2">
      <c r="A41" s="11"/>
      <c r="B41" s="58" t="s">
        <v>73</v>
      </c>
      <c r="C41" s="55"/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12"/>
    </row>
    <row r="42" spans="1:75" ht="13.5" customHeight="1" x14ac:dyDescent="0.2">
      <c r="A42" s="11"/>
      <c r="C42" s="4" t="s">
        <v>74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2"/>
    </row>
    <row r="43" spans="1:75" ht="13.5" customHeight="1" x14ac:dyDescent="0.2">
      <c r="A43" s="11"/>
      <c r="D43" s="2" t="s">
        <v>75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>
        <v>47659</v>
      </c>
      <c r="U43" s="17">
        <v>48392</v>
      </c>
      <c r="V43" s="17">
        <v>48553</v>
      </c>
      <c r="W43" s="17">
        <v>50331</v>
      </c>
      <c r="X43" s="17">
        <f>MU!X40+UMKC!X39+'S&amp;T'!X31+UMSL!X34</f>
        <v>51801</v>
      </c>
      <c r="Y43" s="17">
        <f>MU!Y40+UMKC!Y39+'S&amp;T'!Y31+UMSL!Y34</f>
        <v>50317</v>
      </c>
      <c r="Z43" s="17">
        <f>MU!Z40+UMKC!Z39+'S&amp;T'!Z31+UMSL!Z34</f>
        <v>50505</v>
      </c>
      <c r="AA43" s="17">
        <f>MU!AA40+UMKC!AA39+'S&amp;T'!AA31+UMSL!AA34</f>
        <v>49277</v>
      </c>
      <c r="AB43" s="17">
        <f>MU!AB40+UMKC!AB39+'S&amp;T'!AB31+UMSL!AB34</f>
        <v>50517</v>
      </c>
      <c r="AC43" s="17">
        <f>MU!AC40+UMKC!AC39+'S&amp;T'!AC31+UMSL!AC34</f>
        <v>53151</v>
      </c>
      <c r="AD43" s="17">
        <f>MU!AD40+UMKC!AD39+'S&amp;T'!AD31+UMSL!AD34</f>
        <v>55502</v>
      </c>
      <c r="AE43" s="17">
        <f>MU!AE40+UMKC!AE39+'S&amp;T'!AE31+UMSL!AE34</f>
        <v>54742</v>
      </c>
      <c r="AF43" s="17">
        <f>MU!AF40+UMKC!AF39+'S&amp;T'!AF31+UMSL!AF34</f>
        <v>53882</v>
      </c>
      <c r="AG43" s="17">
        <f>MU!AG40+UMKC!AG39+'S&amp;T'!AG31+UMSL!AG34</f>
        <v>52284</v>
      </c>
      <c r="AH43" s="17">
        <f>MU!AH40+UMKC!AH39+'S&amp;T'!AH31+UMSL!AH34</f>
        <v>51198</v>
      </c>
      <c r="AI43" s="17">
        <f>MU!AI40+UMKC!AI39+'S&amp;T'!AI31+UMSL!AI34</f>
        <v>51508</v>
      </c>
      <c r="AJ43" s="17">
        <f>MU!AJ40+UMKC!AJ39+'S&amp;T'!AJ31+UMSL!AJ34</f>
        <v>51965</v>
      </c>
      <c r="AK43" s="17">
        <f>MU!AK40+UMKC!AK39+'S&amp;T'!AK31+UMSL!AK34</f>
        <v>52629</v>
      </c>
      <c r="AL43" s="17">
        <f>MU!AL40+UMKC!AL39+'S&amp;T'!AL31+UMSL!AL34</f>
        <v>53894</v>
      </c>
      <c r="AM43" s="17">
        <f>MU!AM40+UMKC!AM39+'S&amp;T'!AM31+UMSL!AM34</f>
        <v>54660</v>
      </c>
      <c r="AN43" s="17">
        <f>MU!AN40+UMKC!AN39+'S&amp;T'!AN31+UMSL!AN34</f>
        <v>54073</v>
      </c>
      <c r="AO43" s="17">
        <f>MU!AO40+UMKC!AO39+'S&amp;T'!AO31+UMSL!AO34</f>
        <v>50994</v>
      </c>
      <c r="AP43" s="17">
        <f>MU!AP40+UMKC!AP39+'S&amp;T'!AP31+UMSL!AP34</f>
        <v>49218</v>
      </c>
      <c r="AQ43" s="17">
        <f>MU!AQ40+UMKC!AQ39+'S&amp;T'!AQ31+UMSL!AQ34</f>
        <v>49290</v>
      </c>
      <c r="AR43" s="17">
        <f>MU!AR40+UMKC!AR39+'S&amp;T'!AR31+UMSL!AR34</f>
        <v>49865</v>
      </c>
      <c r="AS43" s="17">
        <f>MU!AS40+UMKC!AS39+'S&amp;T'!AS31+UMSL!AS34</f>
        <v>49923</v>
      </c>
      <c r="AT43" s="17">
        <f>MU!AT40+UMKC!AT39+'S&amp;T'!AT31+UMSL!AT34</f>
        <v>49457</v>
      </c>
      <c r="AU43" s="17">
        <f>MU!AU40+UMKC!AU39+'S&amp;T'!AU31+UMSL!AU34</f>
        <v>49923</v>
      </c>
      <c r="AV43" s="17">
        <f>MU!AV40+UMKC!AV39+'S&amp;T'!AV31+UMSL!AV34</f>
        <v>50116</v>
      </c>
      <c r="AW43" s="17">
        <f>MU!AW40+UMKC!AW39+'S&amp;T'!AW31+UMSL!AW34</f>
        <v>50287</v>
      </c>
      <c r="AX43" s="17">
        <f>MU!AX40+UMKC!AX39+'S&amp;T'!AX31+UMSL!AX34</f>
        <v>51376</v>
      </c>
      <c r="AY43" s="17">
        <f>MU!AY40+UMKC!AY39+'S&amp;T'!AY31+UMSL!AY34</f>
        <v>53595</v>
      </c>
      <c r="AZ43" s="17">
        <f>MU!AZ40+UMKC!AZ39+'S&amp;T'!AZ31+UMSL!AZ34</f>
        <v>54502</v>
      </c>
      <c r="BA43" s="17">
        <f>MU!BA40+UMKC!BA39+'S&amp;T'!BA31+UMSL!BA34</f>
        <v>54617</v>
      </c>
      <c r="BB43" s="17">
        <f>MU!BB40+UMKC!BB39+'S&amp;T'!BB31+UMSL!BB34</f>
        <v>55964</v>
      </c>
      <c r="BC43" s="17">
        <f>MU!BC40+UMKC!BC39+'S&amp;T'!BC31+UMSL!BC34</f>
        <v>56276</v>
      </c>
      <c r="BD43" s="17">
        <f>MU!BD40+UMKC!BD39+'S&amp;T'!BD31+UMSL!BD34</f>
        <v>57099</v>
      </c>
      <c r="BE43" s="17">
        <f>MU!BE40+UMKC!BE39+'S&amp;T'!BE31+UMSL!BE34</f>
        <v>58858</v>
      </c>
      <c r="BF43" s="17">
        <f>MU!BF40+UMKC!BF39+'S&amp;T'!BF31+UMSL!BF34</f>
        <v>61120</v>
      </c>
      <c r="BG43" s="17">
        <f>MU!BG40+UMKC!BG39+'S&amp;T'!BG31+UMSL!BG34</f>
        <v>63279</v>
      </c>
      <c r="BH43" s="17">
        <f>MU!BH40+UMKC!BH39+'S&amp;T'!BH31+UMSL!BH34</f>
        <v>64725</v>
      </c>
      <c r="BI43" s="17">
        <f>MU!BI40+UMKC!BI39+'S&amp;T'!BI31+UMSL!BI34</f>
        <v>65409</v>
      </c>
      <c r="BJ43" s="17">
        <f>MU!BJ40+UMKC!BJ39+'S&amp;T'!BJ31+UMSL!BJ34</f>
        <v>65662</v>
      </c>
      <c r="BK43" s="17">
        <f>MU!BK40+UMKC!BK39+'S&amp;T'!BK31+UMSL!BK34</f>
        <v>66990</v>
      </c>
      <c r="BL43" s="17">
        <f>MU!BL40+UMKC!BL39+'S&amp;T'!BL31+UMSL!BL34</f>
        <v>66208</v>
      </c>
      <c r="BM43" s="17">
        <f>MU!BM40+UMKC!BM39+'S&amp;T'!BM31+UMSL!BM34</f>
        <v>63056</v>
      </c>
      <c r="BN43" s="17">
        <f>MU!BN40+UMKC!BN39+'S&amp;T'!BN31+UMSL!BN34</f>
        <v>59989</v>
      </c>
      <c r="BO43" s="17">
        <f>MU!BO40+UMKC!BO39+'S&amp;T'!BO31+UMSL!BO34</f>
        <v>57964</v>
      </c>
      <c r="BP43" s="17">
        <f>MU!BP40+UMKC!BP39+'S&amp;T'!BP31+UMSL!BP34</f>
        <v>56578</v>
      </c>
      <c r="BQ43" s="17">
        <f>MU!BQ40+UMKC!BQ39+'S&amp;T'!BQ31+UMSL!BQ34</f>
        <v>55778</v>
      </c>
      <c r="BR43" s="17">
        <f>MU!BR40+UMKC!BR39+'S&amp;T'!BR31+UMSL!BR34</f>
        <v>54637</v>
      </c>
      <c r="BS43" s="17">
        <f>MU!BS40+UMKC!BS39+'S&amp;T'!BS31+UMSL!BS34</f>
        <v>53987</v>
      </c>
      <c r="BT43" s="17">
        <f>MU!BT40+UMKC!BT39+'S&amp;T'!BT31+UMSL!BT34</f>
        <v>53412</v>
      </c>
      <c r="BU43" s="12"/>
    </row>
    <row r="44" spans="1:75" ht="13.5" customHeight="1" x14ac:dyDescent="0.2">
      <c r="A44" s="11"/>
      <c r="D44" s="2" t="s">
        <v>90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>
        <v>42139</v>
      </c>
      <c r="U44" s="17">
        <v>42843</v>
      </c>
      <c r="V44" s="17">
        <v>42855</v>
      </c>
      <c r="W44" s="17">
        <f>MU!W41+UMKC!W40+'S&amp;T'!W32+UMSL!W35</f>
        <v>42160</v>
      </c>
      <c r="X44" s="17">
        <f>MU!X41+UMKC!X40+'S&amp;T'!X32+UMSL!X35</f>
        <v>42736</v>
      </c>
      <c r="Y44" s="17">
        <f>MU!Y41+UMKC!Y40+'S&amp;T'!Y32+UMSL!Y35</f>
        <v>42200</v>
      </c>
      <c r="Z44" s="17">
        <f>MU!Z41+UMKC!Z40+'S&amp;T'!Z32+UMSL!Z35</f>
        <v>41937</v>
      </c>
      <c r="AA44" s="17">
        <f>MU!AA41+UMKC!AA40+'S&amp;T'!AA32+UMSL!AA35</f>
        <v>40778</v>
      </c>
      <c r="AB44" s="17">
        <f>MU!AB41+UMKC!AB40+'S&amp;T'!AB32+UMSL!AB35</f>
        <v>41526</v>
      </c>
      <c r="AC44" s="17">
        <f>MU!AC41+UMKC!AC40+'S&amp;T'!AC32+UMSL!AC35</f>
        <v>43579</v>
      </c>
      <c r="AD44" s="17">
        <f>MU!AD41+UMKC!AD40+'S&amp;T'!AD32+UMSL!AD35</f>
        <v>45094</v>
      </c>
      <c r="AE44" s="17">
        <f>MU!AE41+UMKC!AE40+'S&amp;T'!AE32+UMSL!AE35</f>
        <v>44630</v>
      </c>
      <c r="AF44" s="17">
        <f>MU!AF41+UMKC!AF40+'S&amp;T'!AF32+UMSL!AF35</f>
        <v>43431</v>
      </c>
      <c r="AG44" s="17">
        <f>MU!AG41+UMKC!AG40+'S&amp;T'!AG32+UMSL!AG35</f>
        <v>41687</v>
      </c>
      <c r="AH44" s="17">
        <f>MU!AH41+UMKC!AH40+'S&amp;T'!AH32+UMSL!AH35</f>
        <v>40414</v>
      </c>
      <c r="AI44" s="17">
        <f>MU!AI41+UMKC!AI40+'S&amp;T'!AI32+UMSL!AI35</f>
        <v>39363</v>
      </c>
      <c r="AJ44" s="17">
        <f>MU!AJ41+UMKC!AJ40+'S&amp;T'!AJ32+UMSL!AJ35</f>
        <v>39360</v>
      </c>
      <c r="AK44" s="17">
        <f>MU!AK41+UMKC!AK40+'S&amp;T'!AK32+UMSL!AK35</f>
        <v>39660</v>
      </c>
      <c r="AL44" s="17">
        <f>MU!AL41+UMKC!AL40+'S&amp;T'!AL32+UMSL!AL35</f>
        <v>40460</v>
      </c>
      <c r="AM44" s="17">
        <f>MU!AM41+UMKC!AM40+'S&amp;T'!AM32+UMSL!AM35</f>
        <v>40849</v>
      </c>
      <c r="AN44" s="17">
        <f>MU!AN41+UMKC!AN40+'S&amp;T'!AN32+UMSL!AN35</f>
        <v>40456</v>
      </c>
      <c r="AO44" s="17">
        <f>MU!AO41+UMKC!AO40+'S&amp;T'!AO32+UMSL!AO35</f>
        <v>38265.699999999997</v>
      </c>
      <c r="AP44" s="17">
        <f>MU!AP41+UMKC!AP40+'S&amp;T'!AP32+UMSL!AP35</f>
        <v>36823.199999999997</v>
      </c>
      <c r="AQ44" s="17">
        <f>MU!AQ41+UMKC!AQ40+'S&amp;T'!AQ32+UMSL!AQ35</f>
        <v>36840.200000000004</v>
      </c>
      <c r="AR44" s="17">
        <f>MU!AR41+UMKC!AR40+'S&amp;T'!AR32+UMSL!AR35</f>
        <v>37492</v>
      </c>
      <c r="AS44" s="17">
        <f>MU!AS41+UMKC!AS40+'S&amp;T'!AS32+UMSL!AS35</f>
        <v>37795.1</v>
      </c>
      <c r="AT44" s="17">
        <f>MU!AT41+UMKC!AT40+'S&amp;T'!AT32+UMSL!AT35</f>
        <v>37634.300000000003</v>
      </c>
      <c r="AU44" s="17">
        <f>MU!AU41+UMKC!AU40+'S&amp;T'!AU32+UMSL!AU35</f>
        <v>38340.800000000003</v>
      </c>
      <c r="AV44" s="17">
        <f>MU!AV41+UMKC!AV40+'S&amp;T'!AV32+UMSL!AV35</f>
        <v>38652.199999999997</v>
      </c>
      <c r="AW44" s="17">
        <f>MU!AW41+UMKC!AW40+'S&amp;T'!AW32+UMSL!AW35</f>
        <v>39176.100000000006</v>
      </c>
      <c r="AX44" s="17">
        <f>MU!AX41+UMKC!AX40+'S&amp;T'!AX32+UMSL!AX35</f>
        <v>40047.299999999996</v>
      </c>
      <c r="AY44" s="17">
        <f>MU!AY41+UMKC!AY40+'S&amp;T'!AY32+UMSL!AY35</f>
        <v>42102.9</v>
      </c>
      <c r="AZ44" s="17">
        <f>MU!AZ41+UMKC!AZ40+'S&amp;T'!AZ32+UMSL!AZ35</f>
        <v>43230.200000000004</v>
      </c>
      <c r="BA44" s="17">
        <f>MU!BA41+UMKC!BA40+'S&amp;T'!BA32+UMSL!BA35</f>
        <v>43866.1</v>
      </c>
      <c r="BB44" s="17">
        <f>MU!BB41+UMKC!BB40+'S&amp;T'!BB32+UMSL!BB35</f>
        <v>45254.100000000006</v>
      </c>
      <c r="BC44" s="17">
        <f>MU!BC41+UMKC!BC40+'S&amp;T'!BC32+UMSL!BC35</f>
        <v>45900.3</v>
      </c>
      <c r="BD44" s="17">
        <f>MU!BD41+UMKC!BD40+'S&amp;T'!BD32+UMSL!BD35</f>
        <v>46343.100000000006</v>
      </c>
      <c r="BE44" s="17">
        <f>MU!BE41+UMKC!BE40+'S&amp;T'!BE32+UMSL!BE35</f>
        <v>48262.7</v>
      </c>
      <c r="BF44" s="17">
        <f>MU!BF41+UMKC!BF40+'S&amp;T'!BF32+UMSL!BF35</f>
        <v>50259.1</v>
      </c>
      <c r="BG44" s="17">
        <f>MU!BG41+UMKC!BG40+'S&amp;T'!BG32+UMSL!BG35</f>
        <v>52235.3</v>
      </c>
      <c r="BH44" s="17">
        <f>MU!BH41+UMKC!BH40+'S&amp;T'!BH32+UMSL!BH35</f>
        <v>53429.399999999994</v>
      </c>
      <c r="BI44" s="17">
        <f>MU!BI41+UMKC!BI40+'S&amp;T'!BI32+UMSL!BI35</f>
        <v>54167.199999999997</v>
      </c>
      <c r="BJ44" s="17">
        <f>MU!BJ41+UMKC!BJ40+'S&amp;T'!BJ32+UMSL!BJ35</f>
        <v>54416.600000000006</v>
      </c>
      <c r="BK44" s="17">
        <f>MU!BK41+UMKC!BK40+'S&amp;T'!BK32+UMSL!BK35</f>
        <v>55667.7</v>
      </c>
      <c r="BL44" s="17">
        <f>MU!BL41+UMKC!BL40+'S&amp;T'!BL32+UMSL!BL35</f>
        <v>55447.3</v>
      </c>
      <c r="BM44" s="17">
        <f>MU!BM41+UMKC!BM40+'S&amp;T'!BM32+UMSL!BM35</f>
        <v>53054.200000000004</v>
      </c>
      <c r="BN44" s="17">
        <f>MU!BN41+UMKC!BN40+'S&amp;T'!BN32+UMSL!BN35</f>
        <v>50529.2</v>
      </c>
      <c r="BO44" s="17">
        <f>MU!BO41+UMKC!BO40+'S&amp;T'!BO32+UMSL!BO35</f>
        <v>48496.5</v>
      </c>
      <c r="BP44" s="17">
        <f>MU!BP41+UMKC!BP40+'S&amp;T'!BP32+UMSL!BP35</f>
        <v>47327.100000000006</v>
      </c>
      <c r="BQ44" s="17">
        <f>MU!BQ41+UMKC!BQ40+'S&amp;T'!BQ32+UMSL!BQ35</f>
        <v>46837.200000000004</v>
      </c>
      <c r="BR44" s="17">
        <f>MU!BR41+UMKC!BR40+'S&amp;T'!BR32+UMSL!BR35</f>
        <v>45913.2</v>
      </c>
      <c r="BS44" s="17">
        <f>MU!BS41+UMKC!BS40+'S&amp;T'!BS32+UMSL!BS35</f>
        <v>45706.400000000001</v>
      </c>
      <c r="BT44" s="17">
        <f>MU!BT41+UMKC!BT40+'S&amp;T'!BT32+UMSL!BT35</f>
        <v>45847.9</v>
      </c>
      <c r="BU44" s="12"/>
    </row>
    <row r="45" spans="1:75" ht="13.5" customHeight="1" x14ac:dyDescent="0.2">
      <c r="A45" s="11"/>
      <c r="C45" s="4" t="s">
        <v>76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2"/>
    </row>
    <row r="46" spans="1:75" ht="13.5" customHeight="1" x14ac:dyDescent="0.2">
      <c r="A46" s="11"/>
      <c r="D46" s="2" t="s">
        <v>75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>
        <f>MU!X43+UMKC!X42+'S&amp;T'!X34+UMSL!X37</f>
        <v>1632</v>
      </c>
      <c r="Y46" s="17">
        <f>MU!Y43+UMKC!Y42+'S&amp;T'!Y34+UMSL!Y37</f>
        <v>1484</v>
      </c>
      <c r="Z46" s="17">
        <f>MU!Z43+UMKC!Z42+'S&amp;T'!Z34+UMSL!Z37</f>
        <v>1425</v>
      </c>
      <c r="AA46" s="17">
        <f>MU!AA43+UMKC!AA42+'S&amp;T'!AA34+UMSL!AA37</f>
        <v>1456</v>
      </c>
      <c r="AB46" s="17">
        <f>MU!AB43+UMKC!AB42+'S&amp;T'!AB34+UMSL!AB37</f>
        <v>1312</v>
      </c>
      <c r="AC46" s="17">
        <f>MU!AC43+UMKC!AC42+'S&amp;T'!AC34+UMSL!AC37</f>
        <v>1250</v>
      </c>
      <c r="AD46" s="17">
        <f>MU!AD43+UMKC!AD42+'S&amp;T'!AD34+UMSL!AD37</f>
        <v>1299</v>
      </c>
      <c r="AE46" s="17">
        <f>MU!AE43+UMKC!AE42+'S&amp;T'!AE34+UMSL!AE37</f>
        <v>1270</v>
      </c>
      <c r="AF46" s="17">
        <f>MU!AF43+UMKC!AF42+'S&amp;T'!AF34+UMSL!AF37</f>
        <v>1271</v>
      </c>
      <c r="AG46" s="17">
        <f>MU!AG43+UMKC!AG42+'S&amp;T'!AG34+UMSL!AG37</f>
        <v>1328</v>
      </c>
      <c r="AH46" s="17">
        <f>MU!AH43+UMKC!AH42+'S&amp;T'!AH34+UMSL!AH37</f>
        <v>1366</v>
      </c>
      <c r="AI46" s="17">
        <f>MU!AI43+UMKC!AI42+'S&amp;T'!AI34+UMSL!AI37</f>
        <v>1448</v>
      </c>
      <c r="AJ46" s="17">
        <f>MU!AJ43+UMKC!AJ42+'S&amp;T'!AJ34+UMSL!AJ37</f>
        <v>1751</v>
      </c>
      <c r="AK46" s="17">
        <f>MU!AK43+UMKC!AK42+'S&amp;T'!AK34+UMSL!AK37</f>
        <v>2223</v>
      </c>
      <c r="AL46" s="17">
        <f>MU!AL43+UMKC!AL42+'S&amp;T'!AL34+UMSL!AL37</f>
        <v>2091</v>
      </c>
      <c r="AM46" s="17">
        <f>MU!AM43+UMKC!AM42+'S&amp;T'!AM34+UMSL!AM37</f>
        <v>2514</v>
      </c>
      <c r="AN46" s="17">
        <f>MU!AN43+UMKC!AN42+'S&amp;T'!AN34+UMSL!AN37</f>
        <v>3027</v>
      </c>
      <c r="AO46" s="17">
        <f>MU!AO43+UMKC!AO42+'S&amp;T'!AO34+UMSL!AO37</f>
        <v>3508</v>
      </c>
      <c r="AP46" s="17">
        <f>MU!AP43+UMKC!AP42+'S&amp;T'!AP34+UMSL!AP37</f>
        <v>3957</v>
      </c>
      <c r="AQ46" s="17">
        <f>MU!AQ43+UMKC!AQ42+'S&amp;T'!AQ34+UMSL!AQ37</f>
        <v>3907</v>
      </c>
      <c r="AR46" s="17">
        <f>MU!AR43+UMKC!AR42+'S&amp;T'!AR34+UMSL!AR37</f>
        <v>4098</v>
      </c>
      <c r="AS46" s="17">
        <f>MU!AS43+UMKC!AS42+'S&amp;T'!AS34+UMSL!AS37</f>
        <v>4252</v>
      </c>
      <c r="AT46" s="17">
        <f>MU!AT43+UMKC!AT42+'S&amp;T'!AT34+UMSL!AT37</f>
        <v>4091</v>
      </c>
      <c r="AU46" s="17">
        <f>MU!AU43+UMKC!AU42+'S&amp;T'!AU34+UMSL!AU37</f>
        <v>4265</v>
      </c>
      <c r="AV46" s="17">
        <f>MU!AV43+UMKC!AV42+'S&amp;T'!AV34+UMSL!AV37</f>
        <v>4641</v>
      </c>
      <c r="AW46" s="17">
        <f>MU!AW43+UMKC!AW42+'S&amp;T'!AW34+UMSL!AW37</f>
        <v>5743</v>
      </c>
      <c r="AX46" s="17">
        <f>MU!AX43+UMKC!AX42+'S&amp;T'!AX34+UMSL!AX37</f>
        <v>5136</v>
      </c>
      <c r="AY46" s="17">
        <f>MU!AY43+UMKC!AY42+'S&amp;T'!AY34+UMSL!AY37</f>
        <v>7308</v>
      </c>
      <c r="AZ46" s="17">
        <f>MU!AZ43+UMKC!AZ42+'S&amp;T'!AZ34+UMSL!AZ37</f>
        <v>7587</v>
      </c>
      <c r="BA46" s="17">
        <f>MU!BA43+UMKC!BA42+'S&amp;T'!BA34+UMSL!BA37</f>
        <v>7544</v>
      </c>
      <c r="BB46" s="17">
        <f>MU!BB43+UMKC!BB42+'S&amp;T'!BB34+UMSL!BB37</f>
        <v>7420</v>
      </c>
      <c r="BC46" s="17">
        <f>MU!BC43+UMKC!BC42+'S&amp;T'!BC34+UMSL!BC37</f>
        <v>7507</v>
      </c>
      <c r="BD46" s="17">
        <f>MU!BD43+UMKC!BD42+'S&amp;T'!BD34+UMSL!BD37</f>
        <v>7441</v>
      </c>
      <c r="BE46" s="17">
        <f>MU!BE43+UMKC!BE42+'S&amp;T'!BE34+UMSL!BE37</f>
        <v>7861</v>
      </c>
      <c r="BF46" s="17">
        <f>MU!BF43+UMKC!BF42+'S&amp;T'!BF34+UMSL!BF37</f>
        <v>8264</v>
      </c>
      <c r="BG46" s="17">
        <f>MU!BG43+UMKC!BG42+'S&amp;T'!BG34+UMSL!BG37</f>
        <v>8317</v>
      </c>
      <c r="BH46" s="17">
        <f>MU!BH43+UMKC!BH42+'S&amp;T'!BH34+UMSL!BH37</f>
        <v>8840</v>
      </c>
      <c r="BI46" s="17">
        <f>MU!BI43+UMKC!BI42+'S&amp;T'!BI34+UMSL!BI37</f>
        <v>9635</v>
      </c>
      <c r="BJ46" s="17">
        <f>MU!BJ43+UMKC!BJ42+'S&amp;T'!BJ34+UMSL!BJ37</f>
        <v>9610</v>
      </c>
      <c r="BK46" s="17">
        <f>MU!BK43+UMKC!BK42+'S&amp;T'!BK34+UMSL!BK37</f>
        <v>10293</v>
      </c>
      <c r="BL46" s="17">
        <f>MU!BL43+UMKC!BL42+'S&amp;T'!BL34+UMSL!BL37</f>
        <v>11525</v>
      </c>
      <c r="BM46" s="17">
        <f>MU!BM43+UMKC!BM42+'S&amp;T'!BM34+UMSL!BM37</f>
        <v>12943</v>
      </c>
      <c r="BN46" s="17">
        <f>MU!BN43+UMKC!BN42+'S&amp;T'!BN34+UMSL!BN37</f>
        <v>12825</v>
      </c>
      <c r="BO46" s="17">
        <f>MU!BO43+UMKC!BO42+'S&amp;T'!BO34+UMSL!BO37</f>
        <v>13296</v>
      </c>
      <c r="BP46" s="17">
        <f>MU!BP43+UMKC!BP42+'S&amp;T'!BP34+UMSL!BP37</f>
        <v>13900</v>
      </c>
      <c r="BQ46" s="17">
        <f>MU!BQ43+UMKC!BQ42+'S&amp;T'!BQ34+UMSL!BQ37</f>
        <v>12974</v>
      </c>
      <c r="BR46" s="17">
        <f>MU!BR43+UMKC!BR42+'S&amp;T'!BR34+UMSL!BR37</f>
        <v>15197</v>
      </c>
      <c r="BS46" s="17">
        <f>MU!BS43+UMKC!BS42+'S&amp;T'!BS34+UMSL!BS37</f>
        <v>15281</v>
      </c>
      <c r="BT46" s="17">
        <f>MU!BT43+UMKC!BT42+'S&amp;T'!BT34+UMSL!BT37</f>
        <v>14834</v>
      </c>
      <c r="BU46" s="12"/>
    </row>
    <row r="47" spans="1:75" ht="13.5" customHeight="1" x14ac:dyDescent="0.2">
      <c r="A47" s="11"/>
      <c r="D47" s="2" t="s">
        <v>90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>
        <f>MU!W44+UMKC!W43+'S&amp;T'!W35+UMSL!W38</f>
        <v>462</v>
      </c>
      <c r="X47" s="17">
        <f>MU!X44+UMKC!X43+'S&amp;T'!X35+UMSL!X38</f>
        <v>329</v>
      </c>
      <c r="Y47" s="17">
        <f>MU!Y44+UMKC!Y43+'S&amp;T'!Y35+UMSL!Y38</f>
        <v>306</v>
      </c>
      <c r="Z47" s="17">
        <f>MU!Z44+UMKC!Z43+'S&amp;T'!Z35+UMSL!Z38</f>
        <v>285</v>
      </c>
      <c r="AA47" s="17">
        <f>MU!AA44+UMKC!AA43+'S&amp;T'!AA35+UMSL!AA38</f>
        <v>227</v>
      </c>
      <c r="AB47" s="17">
        <f>MU!AB44+UMKC!AB43+'S&amp;T'!AB35+UMSL!AB38</f>
        <v>225</v>
      </c>
      <c r="AC47" s="17">
        <f>MU!AC44+UMKC!AC43+'S&amp;T'!AC35+UMSL!AC38</f>
        <v>262</v>
      </c>
      <c r="AD47" s="17">
        <f>MU!AD44+UMKC!AD43+'S&amp;T'!AD35+UMSL!AD38</f>
        <v>297</v>
      </c>
      <c r="AE47" s="17">
        <f>MU!AE44+UMKC!AE43+'S&amp;T'!AE35+UMSL!AE38</f>
        <v>276</v>
      </c>
      <c r="AF47" s="17">
        <f>MU!AF44+UMKC!AF43+'S&amp;T'!AF35+UMSL!AF38</f>
        <v>285</v>
      </c>
      <c r="AG47" s="17">
        <f>MU!AG44+UMKC!AG43+'S&amp;T'!AG35+UMSL!AG38</f>
        <v>294</v>
      </c>
      <c r="AH47" s="17">
        <f>MU!AH44+UMKC!AH43+'S&amp;T'!AH35+UMSL!AH38</f>
        <v>238</v>
      </c>
      <c r="AI47" s="17">
        <f>MU!AI44+UMKC!AI43+'S&amp;T'!AI35+UMSL!AI38</f>
        <v>319</v>
      </c>
      <c r="AJ47" s="17">
        <f>MU!AJ44+UMKC!AJ43+'S&amp;T'!AJ35+UMSL!AJ38</f>
        <v>435</v>
      </c>
      <c r="AK47" s="17">
        <f>MU!AK44+UMKC!AK43+'S&amp;T'!AK35+UMSL!AK38</f>
        <v>578</v>
      </c>
      <c r="AL47" s="17">
        <f>MU!AL44+UMKC!AL43+'S&amp;T'!AL35+UMSL!AL38</f>
        <v>551</v>
      </c>
      <c r="AM47" s="17">
        <f>MU!AM44+UMKC!AM43+'S&amp;T'!AM35+UMSL!AM38</f>
        <v>691</v>
      </c>
      <c r="AN47" s="17">
        <f>MU!AN44+UMKC!AN43+'S&amp;T'!AN35+UMSL!AN38</f>
        <v>866</v>
      </c>
      <c r="AO47" s="17">
        <f>MU!AO44+UMKC!AO43+'S&amp;T'!AO35+UMSL!AO38</f>
        <v>1051.3</v>
      </c>
      <c r="AP47" s="17">
        <f>MU!AP44+UMKC!AP43+'S&amp;T'!AP35+UMSL!AP38</f>
        <v>1210.3000000000002</v>
      </c>
      <c r="AQ47" s="17">
        <f>MU!AQ44+UMKC!AQ43+'S&amp;T'!AQ35+UMSL!AQ38</f>
        <v>1268.8999999999999</v>
      </c>
      <c r="AR47" s="17">
        <f>MU!AR44+UMKC!AR43+'S&amp;T'!AR35+UMSL!AR38</f>
        <v>1340</v>
      </c>
      <c r="AS47" s="17">
        <f>MU!AS44+UMKC!AS43+'S&amp;T'!AS35+UMSL!AS38</f>
        <v>1420.5</v>
      </c>
      <c r="AT47" s="17">
        <f>MU!AT44+UMKC!AT43+'S&amp;T'!AT35+UMSL!AT38</f>
        <v>1367</v>
      </c>
      <c r="AU47" s="17">
        <f>MU!AU44+UMKC!AU43+'S&amp;T'!AU35+UMSL!AU38</f>
        <v>1407.2</v>
      </c>
      <c r="AV47" s="17">
        <f>MU!AV44+UMKC!AV43+'S&amp;T'!AV35+UMSL!AV38</f>
        <v>1478.9</v>
      </c>
      <c r="AW47" s="17">
        <f>MU!AW44+UMKC!AW43+'S&amp;T'!AW35+UMSL!AW38</f>
        <v>1806.8</v>
      </c>
      <c r="AX47" s="17">
        <f>MU!AX44+UMKC!AX43+'S&amp;T'!AX35+UMSL!AX38</f>
        <v>1622.9</v>
      </c>
      <c r="AY47" s="17">
        <f>MU!AY44+UMKC!AY43+'S&amp;T'!AY35+UMSL!AY38</f>
        <v>2401.1999999999998</v>
      </c>
      <c r="AZ47" s="17">
        <f>MU!AZ44+UMKC!AZ43+'S&amp;T'!AZ35+UMSL!AZ38</f>
        <v>2445.1</v>
      </c>
      <c r="BA47" s="17">
        <f>MU!BA44+UMKC!BA43+'S&amp;T'!BA35+UMSL!BA38</f>
        <v>2498.1000000000004</v>
      </c>
      <c r="BB47" s="17">
        <f>MU!BB44+UMKC!BB43+'S&amp;T'!BB35+UMSL!BB38</f>
        <v>2498.1999999999998</v>
      </c>
      <c r="BC47" s="17">
        <f>MU!BC44+UMKC!BC43+'S&amp;T'!BC35+UMSL!BC38</f>
        <v>2530.1999999999998</v>
      </c>
      <c r="BD47" s="17">
        <f>MU!BD44+UMKC!BD43+'S&amp;T'!BD35+UMSL!BD38</f>
        <v>2650.9</v>
      </c>
      <c r="BE47" s="17">
        <f>MU!BE44+UMKC!BE43+'S&amp;T'!BE35+UMSL!BE38</f>
        <v>2761.1000000000004</v>
      </c>
      <c r="BF47" s="17">
        <f>MU!BF44+UMKC!BF43+'S&amp;T'!BF35+UMSL!BF38</f>
        <v>3032.8</v>
      </c>
      <c r="BG47" s="17">
        <f>MU!BG44+UMKC!BG43+'S&amp;T'!BG35+UMSL!BG38</f>
        <v>3035.8</v>
      </c>
      <c r="BH47" s="17">
        <f>MU!BH44+UMKC!BH43+'S&amp;T'!BH35+UMSL!BH38</f>
        <v>3412.1</v>
      </c>
      <c r="BI47" s="17">
        <f>MU!BI44+UMKC!BI43+'S&amp;T'!BI35+UMSL!BI38</f>
        <v>3638.3999999999996</v>
      </c>
      <c r="BJ47" s="17">
        <f>MU!BJ44+UMKC!BJ43+'S&amp;T'!BJ35+UMSL!BJ38</f>
        <v>3745</v>
      </c>
      <c r="BK47" s="17">
        <f>MU!BK44+UMKC!BK43+'S&amp;T'!BK35+UMSL!BK38</f>
        <v>3897.2000000000003</v>
      </c>
      <c r="BL47" s="17">
        <f>MU!BL44+UMKC!BL43+'S&amp;T'!BL35+UMSL!BL38</f>
        <v>4367.5</v>
      </c>
      <c r="BM47" s="17">
        <f>MU!BM44+UMKC!BM43+'S&amp;T'!BM35+UMSL!BM38</f>
        <v>4729.6000000000004</v>
      </c>
      <c r="BN47" s="17">
        <f>MU!BN44+UMKC!BN43+'S&amp;T'!BN35+UMSL!BN38</f>
        <v>4820.7</v>
      </c>
      <c r="BO47" s="17">
        <f>MU!BO44+UMKC!BO43+'S&amp;T'!BO35+UMSL!BO38</f>
        <v>5012.3</v>
      </c>
      <c r="BP47" s="17">
        <f>MU!BP44+UMKC!BP43+'S&amp;T'!BP35+UMSL!BP38</f>
        <v>5281.8</v>
      </c>
      <c r="BQ47" s="17">
        <f>MU!BQ44+UMKC!BQ43+'S&amp;T'!BQ35+UMSL!BQ38</f>
        <v>5128.6000000000004</v>
      </c>
      <c r="BR47" s="17">
        <f>MU!BR44+UMKC!BR43+'S&amp;T'!BR35+UMSL!BR38</f>
        <v>5993.5</v>
      </c>
      <c r="BS47" s="17">
        <f>MU!BS44+UMKC!BS43+'S&amp;T'!BS35+UMSL!BS38</f>
        <v>5919.6</v>
      </c>
      <c r="BT47" s="17">
        <f>MU!BT44+UMKC!BT43+'S&amp;T'!BT35+UMSL!BT38</f>
        <v>5918.8</v>
      </c>
      <c r="BU47" s="12"/>
    </row>
    <row r="48" spans="1:75" ht="13.5" customHeight="1" x14ac:dyDescent="0.2">
      <c r="A48" s="11"/>
      <c r="B48" s="20"/>
      <c r="C48" s="20"/>
      <c r="D48" s="20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12"/>
    </row>
    <row r="49" spans="1:73" ht="13.5" customHeight="1" x14ac:dyDescent="0.2">
      <c r="A49" s="1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2"/>
    </row>
    <row r="50" spans="1:73" ht="13.5" customHeight="1" x14ac:dyDescent="0.2">
      <c r="A50" s="11"/>
      <c r="B50" s="2" t="s">
        <v>101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2"/>
    </row>
    <row r="51" spans="1:73" ht="13.5" customHeight="1" x14ac:dyDescent="0.2">
      <c r="A51" s="11"/>
      <c r="B51" s="2" t="s">
        <v>100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2"/>
    </row>
    <row r="52" spans="1:73" ht="13.5" customHeight="1" x14ac:dyDescent="0.2">
      <c r="A52" s="1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2"/>
    </row>
    <row r="53" spans="1:73" ht="13.5" customHeight="1" x14ac:dyDescent="0.2">
      <c r="A53" s="11"/>
      <c r="B53" s="2" t="s">
        <v>110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2"/>
    </row>
    <row r="54" spans="1:73" ht="13.5" customHeight="1" x14ac:dyDescent="0.2">
      <c r="A54" s="11"/>
      <c r="B54" s="2" t="s">
        <v>108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2"/>
    </row>
    <row r="55" spans="1:73" ht="13.5" customHeight="1" x14ac:dyDescent="0.2">
      <c r="A55" s="11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12"/>
    </row>
    <row r="56" spans="1:73" ht="13.5" customHeight="1" x14ac:dyDescent="0.2">
      <c r="A56" s="23"/>
      <c r="B56" s="72" t="s">
        <v>89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24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 t="s">
        <v>112</v>
      </c>
      <c r="BU56" s="26"/>
    </row>
    <row r="57" spans="1:73" ht="13.5" customHeight="1" x14ac:dyDescent="0.2"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</row>
    <row r="58" spans="1:73" ht="13.5" customHeight="1" x14ac:dyDescent="0.2"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</row>
    <row r="59" spans="1:73" ht="13.5" customHeight="1" x14ac:dyDescent="0.2"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</row>
    <row r="60" spans="1:73" ht="13.5" customHeight="1" x14ac:dyDescent="0.2"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</row>
    <row r="61" spans="1:73" ht="13.5" customHeight="1" x14ac:dyDescent="0.2"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</row>
    <row r="62" spans="1:73" ht="13.5" customHeight="1" x14ac:dyDescent="0.2"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</row>
    <row r="63" spans="1:73" ht="13.5" customHeight="1" x14ac:dyDescent="0.2"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</row>
    <row r="64" spans="1:73" ht="13.5" customHeight="1" x14ac:dyDescent="0.2"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</row>
    <row r="65" spans="35:72" ht="13.5" customHeight="1" x14ac:dyDescent="0.2"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</row>
    <row r="66" spans="35:72" ht="13.5" customHeight="1" x14ac:dyDescent="0.2"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</row>
    <row r="67" spans="35:72" ht="13.5" customHeight="1" x14ac:dyDescent="0.2">
      <c r="AI67" s="22"/>
      <c r="AJ67" s="22"/>
      <c r="AK67" s="22"/>
      <c r="AL67" s="22"/>
      <c r="AM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</row>
    <row r="68" spans="35:72" ht="13.5" customHeight="1" x14ac:dyDescent="0.2">
      <c r="AI68" s="22"/>
      <c r="AJ68" s="22"/>
      <c r="AK68" s="22"/>
      <c r="AL68" s="22"/>
      <c r="AM68" s="22"/>
    </row>
    <row r="69" spans="35:72" ht="13.5" customHeight="1" x14ac:dyDescent="0.2">
      <c r="AI69" s="22"/>
      <c r="AJ69" s="22"/>
      <c r="AK69" s="22"/>
      <c r="AL69" s="22"/>
      <c r="AM69" s="22"/>
    </row>
    <row r="70" spans="35:72" ht="13.5" customHeight="1" x14ac:dyDescent="0.2">
      <c r="AI70" s="22"/>
      <c r="AJ70" s="22"/>
      <c r="AK70" s="22"/>
      <c r="AL70" s="22"/>
      <c r="AM70" s="22"/>
    </row>
    <row r="71" spans="35:72" ht="13.5" customHeight="1" x14ac:dyDescent="0.2">
      <c r="AI71" s="22"/>
      <c r="AJ71" s="22"/>
      <c r="AK71" s="22"/>
      <c r="AL71" s="22"/>
      <c r="AM71" s="22"/>
    </row>
    <row r="72" spans="35:72" ht="13.5" customHeight="1" x14ac:dyDescent="0.2">
      <c r="AI72" s="22"/>
      <c r="AJ72" s="22"/>
      <c r="AK72" s="22"/>
      <c r="AL72" s="22"/>
      <c r="AM72" s="22"/>
    </row>
    <row r="73" spans="35:72" ht="13.5" customHeight="1" x14ac:dyDescent="0.2">
      <c r="AI73" s="22"/>
      <c r="AJ73" s="22"/>
      <c r="AK73" s="22"/>
      <c r="AL73" s="22"/>
      <c r="AM73" s="22"/>
    </row>
    <row r="74" spans="35:72" ht="13.5" customHeight="1" x14ac:dyDescent="0.2">
      <c r="AI74" s="22"/>
      <c r="AJ74" s="22"/>
      <c r="AK74" s="22"/>
      <c r="AL74" s="22"/>
      <c r="AM74" s="22"/>
    </row>
    <row r="75" spans="35:72" ht="13.5" customHeight="1" x14ac:dyDescent="0.2">
      <c r="AI75" s="22"/>
      <c r="AJ75" s="22"/>
      <c r="AK75" s="22"/>
      <c r="AL75" s="22"/>
      <c r="AM75" s="22"/>
    </row>
    <row r="76" spans="35:72" ht="13.5" customHeight="1" x14ac:dyDescent="0.2">
      <c r="AI76" s="22"/>
      <c r="AJ76" s="22"/>
      <c r="AK76" s="22"/>
      <c r="AL76" s="22"/>
      <c r="AM76" s="22"/>
    </row>
    <row r="77" spans="35:72" ht="13.5" customHeight="1" x14ac:dyDescent="0.2">
      <c r="AI77" s="22"/>
      <c r="AJ77" s="22"/>
      <c r="AK77" s="22"/>
      <c r="AL77" s="22"/>
      <c r="AM77" s="22"/>
    </row>
    <row r="78" spans="35:72" ht="13.5" customHeight="1" x14ac:dyDescent="0.2">
      <c r="AI78" s="22"/>
      <c r="AJ78" s="22"/>
      <c r="AK78" s="22"/>
      <c r="AL78" s="22"/>
      <c r="AM78" s="22"/>
    </row>
    <row r="79" spans="35:72" ht="13.5" customHeight="1" x14ac:dyDescent="0.2">
      <c r="AI79" s="22"/>
      <c r="AJ79" s="22"/>
      <c r="AK79" s="22"/>
      <c r="AL79" s="22"/>
      <c r="AM79" s="22"/>
    </row>
    <row r="80" spans="35:72" ht="13.5" customHeight="1" x14ac:dyDescent="0.2">
      <c r="AI80" s="22"/>
      <c r="AJ80" s="22"/>
      <c r="AK80" s="22"/>
      <c r="AL80" s="22"/>
      <c r="AM80" s="22"/>
    </row>
    <row r="81" spans="35:39" ht="13.5" customHeight="1" x14ac:dyDescent="0.2">
      <c r="AI81" s="22"/>
      <c r="AJ81" s="22"/>
      <c r="AK81" s="22"/>
      <c r="AL81" s="22"/>
      <c r="AM81" s="22"/>
    </row>
    <row r="82" spans="35:39" ht="13.5" customHeight="1" x14ac:dyDescent="0.2">
      <c r="AI82" s="22"/>
      <c r="AJ82" s="22"/>
      <c r="AK82" s="22"/>
      <c r="AL82" s="22"/>
      <c r="AM82" s="22"/>
    </row>
    <row r="83" spans="35:39" ht="13.5" customHeight="1" x14ac:dyDescent="0.2">
      <c r="AI83" s="22"/>
      <c r="AJ83" s="22"/>
      <c r="AK83" s="22"/>
      <c r="AL83" s="22"/>
      <c r="AM83" s="22"/>
    </row>
    <row r="84" spans="35:39" ht="13.5" customHeight="1" x14ac:dyDescent="0.2">
      <c r="AI84" s="22"/>
      <c r="AJ84" s="22"/>
      <c r="AK84" s="22"/>
      <c r="AL84" s="22"/>
      <c r="AM84" s="22"/>
    </row>
    <row r="85" spans="35:39" ht="13.5" customHeight="1" x14ac:dyDescent="0.2">
      <c r="AI85" s="22"/>
      <c r="AJ85" s="22"/>
      <c r="AK85" s="22"/>
      <c r="AL85" s="22"/>
      <c r="AM85" s="22"/>
    </row>
  </sheetData>
  <mergeCells count="2">
    <mergeCell ref="A2:BU2"/>
    <mergeCell ref="B56:BH56"/>
  </mergeCells>
  <hyperlinks>
    <hyperlink ref="B56:BH56" r:id="rId1" display="Source: DHE 02, Fall Enrollment Supplement" xr:uid="{4B515A4D-0862-44B6-99F5-0D9E67DE9C65}"/>
    <hyperlink ref="B56:D56" r:id="rId2" display="Source: DHE 02, Fall Enrollment Supplement" xr:uid="{00000000-0004-0000-0000-000001000000}"/>
    <hyperlink ref="B56" r:id="rId3" display="Source: IPEDS EF and DHE 02" xr:uid="{00000000-0004-0000-0000-000000000000}"/>
  </hyperlinks>
  <printOptions horizontalCentered="1"/>
  <pageMargins left="0.7" right="0.45" top="0.5" bottom="0.5" header="0.3" footer="0.3"/>
  <pageSetup orientation="portrait" r:id="rId4"/>
  <rowBreaks count="1" manualBreakCount="1">
    <brk id="47" max="16383" man="1"/>
  </rowBreaks>
  <ignoredErrors>
    <ignoredError sqref="Z33 X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W61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6" width="8.7109375" style="2" hidden="1" customWidth="1"/>
    <col min="67" max="72" width="8.7109375" style="2" customWidth="1"/>
    <col min="73" max="73" width="2.7109375" style="2" customWidth="1"/>
    <col min="74" max="16384" width="9.140625" style="1"/>
  </cols>
  <sheetData>
    <row r="2" spans="1:73" ht="15" customHeight="1" x14ac:dyDescent="0.25">
      <c r="A2" s="69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5"/>
    </row>
    <row r="3" spans="1:73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5"/>
    </row>
    <row r="4" spans="1:73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5"/>
    </row>
    <row r="5" spans="1:73" ht="15" customHeight="1" x14ac:dyDescent="0.25">
      <c r="A5" s="3"/>
      <c r="B5" s="8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5"/>
    </row>
    <row r="6" spans="1:73" ht="13.5" customHeight="1" thickBot="1" x14ac:dyDescent="0.25">
      <c r="A6" s="11"/>
      <c r="BJ6" s="4"/>
      <c r="BU6" s="12"/>
    </row>
    <row r="7" spans="1:73" ht="13.5" customHeight="1" thickTop="1" x14ac:dyDescent="0.2">
      <c r="A7" s="11"/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14" t="s">
        <v>39</v>
      </c>
      <c r="AP7" s="14" t="s">
        <v>40</v>
      </c>
      <c r="AQ7" s="14" t="s">
        <v>41</v>
      </c>
      <c r="AR7" s="14" t="s">
        <v>42</v>
      </c>
      <c r="AS7" s="14" t="s">
        <v>43</v>
      </c>
      <c r="AT7" s="14" t="s">
        <v>44</v>
      </c>
      <c r="AU7" s="14" t="s">
        <v>45</v>
      </c>
      <c r="AV7" s="14" t="s">
        <v>46</v>
      </c>
      <c r="AW7" s="14" t="s">
        <v>47</v>
      </c>
      <c r="AX7" s="14" t="s">
        <v>48</v>
      </c>
      <c r="AY7" s="14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2"/>
    </row>
    <row r="8" spans="1:73" ht="13.5" customHeight="1" x14ac:dyDescent="0.2">
      <c r="A8" s="11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2"/>
    </row>
    <row r="9" spans="1:73" ht="13.5" customHeight="1" x14ac:dyDescent="0.2">
      <c r="A9" s="11"/>
      <c r="B9" s="57" t="s">
        <v>61</v>
      </c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12"/>
    </row>
    <row r="10" spans="1:73" ht="13.5" customHeight="1" x14ac:dyDescent="0.2">
      <c r="A10" s="11"/>
      <c r="C10" s="4" t="s">
        <v>62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2"/>
    </row>
    <row r="11" spans="1:73" ht="13.5" customHeight="1" x14ac:dyDescent="0.2">
      <c r="A11" s="11"/>
      <c r="D11" s="2" t="s">
        <v>91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f>3541+28</f>
        <v>3569</v>
      </c>
      <c r="P11" s="17">
        <f>3693+26</f>
        <v>3719</v>
      </c>
      <c r="Q11" s="17">
        <f>3563+32</f>
        <v>3595</v>
      </c>
      <c r="R11" s="17">
        <f>3783+58</f>
        <v>3841</v>
      </c>
      <c r="S11" s="17">
        <f>3890+33</f>
        <v>3923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3671</v>
      </c>
      <c r="AH11" s="17">
        <v>3625</v>
      </c>
      <c r="AI11" s="17">
        <v>3494</v>
      </c>
      <c r="AJ11" s="17">
        <v>3722</v>
      </c>
      <c r="AK11" s="17">
        <v>4021</v>
      </c>
      <c r="AL11" s="17">
        <v>4000</v>
      </c>
      <c r="AM11" s="17">
        <v>3851</v>
      </c>
      <c r="AN11" s="17">
        <v>3413</v>
      </c>
      <c r="AO11" s="17">
        <f>2551+358+24+18</f>
        <v>2951</v>
      </c>
      <c r="AP11" s="17">
        <f>2526+375+31+8</f>
        <v>2940</v>
      </c>
      <c r="AQ11" s="17">
        <f>3041+547+28+19</f>
        <v>3635</v>
      </c>
      <c r="AR11" s="17">
        <f>3174+616+31+24</f>
        <v>3845</v>
      </c>
      <c r="AS11" s="17">
        <f>3094+603+29+11</f>
        <v>3737</v>
      </c>
      <c r="AT11" s="17">
        <f>2915+599+19+13</f>
        <v>3546</v>
      </c>
      <c r="AU11" s="17">
        <f>3105+682+28+26</f>
        <v>3841</v>
      </c>
      <c r="AV11" s="17">
        <f>3174+703+37+18</f>
        <v>3932</v>
      </c>
      <c r="AW11" s="17">
        <f>3485+689+39+13</f>
        <v>4226</v>
      </c>
      <c r="AX11" s="17">
        <f>3396+717+28+26</f>
        <v>4167</v>
      </c>
      <c r="AY11" s="17">
        <f>3637+746+45+11</f>
        <v>4439</v>
      </c>
      <c r="AZ11" s="17">
        <f>3837+770+44+18</f>
        <v>4669</v>
      </c>
      <c r="BA11" s="17">
        <f>3777+854+22+15</f>
        <v>4668</v>
      </c>
      <c r="BB11" s="17">
        <f>3718+945+42+13</f>
        <v>4718</v>
      </c>
      <c r="BC11" s="17">
        <f>3865+920+27+25</f>
        <v>4837</v>
      </c>
      <c r="BD11" s="17">
        <f>3942+962+48+30</f>
        <v>4982</v>
      </c>
      <c r="BE11" s="17">
        <f>4406+1296+43+37</f>
        <v>5782</v>
      </c>
      <c r="BF11" s="17">
        <f>3997+1502+46+44</f>
        <v>5589</v>
      </c>
      <c r="BG11" s="17">
        <f>4317+1687+52+33</f>
        <v>6089</v>
      </c>
      <c r="BH11" s="17">
        <f>4187+1864+41+46</f>
        <v>6138</v>
      </c>
      <c r="BI11" s="17">
        <f>4103+2275+36+87</f>
        <v>6501</v>
      </c>
      <c r="BJ11" s="17">
        <f>3786+2274+34+100</f>
        <v>6194</v>
      </c>
      <c r="BK11" s="17">
        <f>3952+2456+29+78</f>
        <v>6515</v>
      </c>
      <c r="BL11" s="17">
        <f>3705+2330+40+116</f>
        <v>6191</v>
      </c>
      <c r="BM11" s="17">
        <f>3137+1535+26+74</f>
        <v>4772</v>
      </c>
      <c r="BN11" s="17">
        <f>2737+1359+17+21</f>
        <v>4134</v>
      </c>
      <c r="BO11" s="17">
        <f>3150+1465+29+29</f>
        <v>4673</v>
      </c>
      <c r="BP11" s="17">
        <f>3774+1599+29+29</f>
        <v>5431</v>
      </c>
      <c r="BQ11" s="17">
        <f>3765+1490+44+16</f>
        <v>5315</v>
      </c>
      <c r="BR11" s="17">
        <f>3283+1498+46+16</f>
        <v>4843</v>
      </c>
      <c r="BS11" s="17">
        <f>3452+1476+35+20</f>
        <v>4983</v>
      </c>
      <c r="BT11" s="17">
        <f>3407+1690+27+15</f>
        <v>5139</v>
      </c>
      <c r="BU11" s="12"/>
    </row>
    <row r="12" spans="1:73" ht="13.5" customHeight="1" x14ac:dyDescent="0.2">
      <c r="A12" s="11"/>
      <c r="D12" s="2" t="s">
        <v>63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13808</v>
      </c>
      <c r="AH12" s="17">
        <f>5222+8089</f>
        <v>13311</v>
      </c>
      <c r="AI12" s="17">
        <v>12937</v>
      </c>
      <c r="AJ12" s="17">
        <v>12745</v>
      </c>
      <c r="AK12" s="17">
        <v>13025</v>
      </c>
      <c r="AL12" s="17">
        <v>13735</v>
      </c>
      <c r="AM12" s="17"/>
      <c r="AN12" s="17"/>
      <c r="AO12" s="17">
        <f>11243+1533+1062+136</f>
        <v>13974</v>
      </c>
      <c r="AP12" s="17">
        <f>10489+1340+1068+102</f>
        <v>12999</v>
      </c>
      <c r="AQ12" s="17">
        <f>9860+1202+1178+130</f>
        <v>12370</v>
      </c>
      <c r="AR12" s="17">
        <f>10002+1224+1204+138</f>
        <v>12568</v>
      </c>
      <c r="AS12" s="17">
        <f>10476+1423+1013+129</f>
        <v>13041</v>
      </c>
      <c r="AT12" s="17">
        <f>10784+1502+1066+114</f>
        <v>13466</v>
      </c>
      <c r="AU12" s="17">
        <f>10963+1507+974+92</f>
        <v>13536</v>
      </c>
      <c r="AV12" s="17">
        <f>11101+1544+850+90</f>
        <v>13585</v>
      </c>
      <c r="AW12" s="17">
        <f>11120+1621+745+65</f>
        <v>13551</v>
      </c>
      <c r="AX12" s="17">
        <f>11590+1626+728+68</f>
        <v>14012</v>
      </c>
      <c r="AY12" s="17">
        <f>12133+1678+905+85</f>
        <v>14801</v>
      </c>
      <c r="AZ12" s="17">
        <f>12675+1711+895+77</f>
        <v>15358</v>
      </c>
      <c r="BA12" s="17">
        <f>13064+1803+930+76</f>
        <v>15873</v>
      </c>
      <c r="BB12" s="17">
        <f>13338+1932+950+80</f>
        <v>16300</v>
      </c>
      <c r="BC12" s="17">
        <f>13443+1964+888+72</f>
        <v>16367</v>
      </c>
      <c r="BD12" s="17">
        <f>13265+2071+965+103</f>
        <v>16404</v>
      </c>
      <c r="BE12" s="17">
        <f>13640+2218+904+104</f>
        <v>16866</v>
      </c>
      <c r="BF12" s="17">
        <f>14396+2430+1008+105</f>
        <v>17939</v>
      </c>
      <c r="BG12" s="17">
        <f>14495+2870+1020+128</f>
        <v>18513</v>
      </c>
      <c r="BH12" s="17">
        <f>15050+3197+1110+191</f>
        <v>19548</v>
      </c>
      <c r="BI12" s="17">
        <f>15134+3534+1197+223</f>
        <v>20088</v>
      </c>
      <c r="BJ12" s="17">
        <f>15006+4102+1079+204</f>
        <v>20391</v>
      </c>
      <c r="BK12" s="17">
        <f>14741+4604+1178+238</f>
        <v>20761</v>
      </c>
      <c r="BL12" s="17">
        <f>15009+4865+1069+259</f>
        <v>21202</v>
      </c>
      <c r="BM12" s="17">
        <f>14642+4746+1099+285</f>
        <v>20772</v>
      </c>
      <c r="BN12" s="17">
        <f>14119+3916+1030+256</f>
        <v>19321</v>
      </c>
      <c r="BO12" s="17">
        <f>12863+3189+1058+247</f>
        <v>17357</v>
      </c>
      <c r="BP12" s="17">
        <f>12331+2933+1016+222</f>
        <v>16502</v>
      </c>
      <c r="BQ12" s="17">
        <f>13253+2817+1031+206</f>
        <v>17307</v>
      </c>
      <c r="BR12" s="17">
        <f>13896+3154+1034+165</f>
        <v>18249</v>
      </c>
      <c r="BS12" s="17">
        <f>13840+3185+1013+185</f>
        <v>18223</v>
      </c>
      <c r="BT12" s="17">
        <f>13926+3022+868+163</f>
        <v>17979</v>
      </c>
      <c r="BU12" s="12"/>
    </row>
    <row r="13" spans="1:73" ht="13.5" customHeight="1" x14ac:dyDescent="0.2">
      <c r="A13" s="11"/>
      <c r="D13" s="2" t="s">
        <v>92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2"/>
    </row>
    <row r="14" spans="1:73" ht="13.5" customHeight="1" x14ac:dyDescent="0.2">
      <c r="A14" s="11"/>
      <c r="D14" s="2" t="s">
        <v>64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327</v>
      </c>
      <c r="AH14" s="18">
        <v>335</v>
      </c>
      <c r="AI14" s="18">
        <v>476</v>
      </c>
      <c r="AJ14" s="18">
        <v>475</v>
      </c>
      <c r="AK14" s="18">
        <v>479</v>
      </c>
      <c r="AL14" s="18">
        <v>461</v>
      </c>
      <c r="AM14" s="18"/>
      <c r="AN14" s="18"/>
      <c r="AO14" s="18">
        <f>9+39+367+46</f>
        <v>461</v>
      </c>
      <c r="AP14" s="18">
        <f>17+35+336+38</f>
        <v>426</v>
      </c>
      <c r="AQ14" s="18">
        <f>8+69+319+38</f>
        <v>434</v>
      </c>
      <c r="AR14" s="18">
        <f>3+67+269+32</f>
        <v>371</v>
      </c>
      <c r="AS14" s="18">
        <f>4+51+295+37</f>
        <v>387</v>
      </c>
      <c r="AT14" s="18">
        <f>4+44+246+40</f>
        <v>334</v>
      </c>
      <c r="AU14" s="18">
        <f>5+36+246+34</f>
        <v>321</v>
      </c>
      <c r="AV14" s="18">
        <f>4+42+215+33</f>
        <v>294</v>
      </c>
      <c r="AW14" s="18">
        <f>7+55+208+11</f>
        <v>281</v>
      </c>
      <c r="AX14" s="18">
        <f>3+47+184+18</f>
        <v>252</v>
      </c>
      <c r="AY14" s="18">
        <f>7+51+314+86</f>
        <v>458</v>
      </c>
      <c r="AZ14" s="18">
        <f>5+35+283+91</f>
        <v>414</v>
      </c>
      <c r="BA14" s="18">
        <f>5+30+231+76</f>
        <v>342</v>
      </c>
      <c r="BB14" s="18">
        <f>3+29+229+56</f>
        <v>317</v>
      </c>
      <c r="BC14" s="18">
        <f>1+32+204+43</f>
        <v>280</v>
      </c>
      <c r="BD14" s="18">
        <f>9+35+143+13</f>
        <v>200</v>
      </c>
      <c r="BE14" s="18">
        <f>2+49+213+68</f>
        <v>332</v>
      </c>
      <c r="BF14" s="18">
        <f>2+44+186+39</f>
        <v>271</v>
      </c>
      <c r="BG14" s="18">
        <f>1+53+139+39</f>
        <v>232</v>
      </c>
      <c r="BH14" s="18">
        <f>2+113+153+38</f>
        <v>306</v>
      </c>
      <c r="BI14" s="18">
        <f>3+129+199+40</f>
        <v>371</v>
      </c>
      <c r="BJ14" s="18">
        <f>2+88+207+46</f>
        <v>343</v>
      </c>
      <c r="BK14" s="18">
        <f>7+99+178+82</f>
        <v>366</v>
      </c>
      <c r="BL14" s="18">
        <f>14+104+186+94</f>
        <v>398</v>
      </c>
      <c r="BM14" s="18">
        <f>13+51+180+89</f>
        <v>333</v>
      </c>
      <c r="BN14" s="18">
        <f>8+58+209+69</f>
        <v>344</v>
      </c>
      <c r="BO14" s="18">
        <f>9+44+335+66</f>
        <v>454</v>
      </c>
      <c r="BP14" s="18">
        <f>11+28+496+121</f>
        <v>656</v>
      </c>
      <c r="BQ14" s="18">
        <f>19+663+79</f>
        <v>761</v>
      </c>
      <c r="BR14" s="18">
        <f>8+36+525+35</f>
        <v>604</v>
      </c>
      <c r="BS14" s="18">
        <f>7+39+431+62</f>
        <v>539</v>
      </c>
      <c r="BT14" s="18">
        <f>8+37+381+69</f>
        <v>495</v>
      </c>
      <c r="BU14" s="12"/>
    </row>
    <row r="15" spans="1:73" ht="13.5" customHeight="1" x14ac:dyDescent="0.2">
      <c r="A15" s="1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14355</v>
      </c>
      <c r="P15" s="17">
        <v>15322</v>
      </c>
      <c r="Q15" s="17">
        <v>15603</v>
      </c>
      <c r="R15" s="17">
        <v>16332</v>
      </c>
      <c r="S15" s="17">
        <v>16723</v>
      </c>
      <c r="T15" s="17"/>
      <c r="U15" s="17">
        <v>16831</v>
      </c>
      <c r="V15" s="17"/>
      <c r="W15" s="17">
        <v>17482</v>
      </c>
      <c r="X15" s="17"/>
      <c r="Y15" s="17">
        <v>17610</v>
      </c>
      <c r="Z15" s="17">
        <v>17755</v>
      </c>
      <c r="AA15" s="17">
        <v>17334</v>
      </c>
      <c r="AB15" s="17">
        <v>17500</v>
      </c>
      <c r="AC15" s="17">
        <v>18570</v>
      </c>
      <c r="AD15" s="17">
        <v>18920</v>
      </c>
      <c r="AE15" s="17">
        <v>18886</v>
      </c>
      <c r="AF15" s="17">
        <v>18339</v>
      </c>
      <c r="AG15" s="17">
        <f t="shared" ref="AG15:AL15" si="0">SUM(AG11:AG14)</f>
        <v>17806</v>
      </c>
      <c r="AH15" s="17">
        <f t="shared" si="0"/>
        <v>17271</v>
      </c>
      <c r="AI15" s="17">
        <f t="shared" si="0"/>
        <v>16907</v>
      </c>
      <c r="AJ15" s="17">
        <f t="shared" si="0"/>
        <v>16942</v>
      </c>
      <c r="AK15" s="17">
        <f t="shared" si="0"/>
        <v>17525</v>
      </c>
      <c r="AL15" s="17">
        <f t="shared" si="0"/>
        <v>18196</v>
      </c>
      <c r="AM15" s="17">
        <v>18763</v>
      </c>
      <c r="AN15" s="17">
        <v>18446</v>
      </c>
      <c r="AO15" s="17">
        <f t="shared" ref="AO15:BI15" si="1">SUM(AO11:AO14)</f>
        <v>17386</v>
      </c>
      <c r="AP15" s="17">
        <f t="shared" si="1"/>
        <v>16365</v>
      </c>
      <c r="AQ15" s="17">
        <f t="shared" si="1"/>
        <v>16439</v>
      </c>
      <c r="AR15" s="17">
        <f t="shared" si="1"/>
        <v>16784</v>
      </c>
      <c r="AS15" s="17">
        <f t="shared" si="1"/>
        <v>17165</v>
      </c>
      <c r="AT15" s="17">
        <f t="shared" si="1"/>
        <v>17346</v>
      </c>
      <c r="AU15" s="17">
        <f t="shared" si="1"/>
        <v>17698</v>
      </c>
      <c r="AV15" s="17">
        <f t="shared" si="1"/>
        <v>17811</v>
      </c>
      <c r="AW15" s="17">
        <f t="shared" si="1"/>
        <v>18058</v>
      </c>
      <c r="AX15" s="17">
        <f t="shared" si="1"/>
        <v>18431</v>
      </c>
      <c r="AY15" s="17">
        <f t="shared" si="1"/>
        <v>19698</v>
      </c>
      <c r="AZ15" s="17">
        <f t="shared" si="1"/>
        <v>20441</v>
      </c>
      <c r="BA15" s="17">
        <f t="shared" si="1"/>
        <v>20883</v>
      </c>
      <c r="BB15" s="17">
        <f t="shared" si="1"/>
        <v>21335</v>
      </c>
      <c r="BC15" s="17">
        <f t="shared" si="1"/>
        <v>21484</v>
      </c>
      <c r="BD15" s="17">
        <f t="shared" si="1"/>
        <v>21586</v>
      </c>
      <c r="BE15" s="17">
        <f t="shared" si="1"/>
        <v>22980</v>
      </c>
      <c r="BF15" s="17">
        <f t="shared" si="1"/>
        <v>23799</v>
      </c>
      <c r="BG15" s="17">
        <f t="shared" si="1"/>
        <v>24834</v>
      </c>
      <c r="BH15" s="17">
        <f t="shared" si="1"/>
        <v>25992</v>
      </c>
      <c r="BI15" s="17">
        <f t="shared" si="1"/>
        <v>26960</v>
      </c>
      <c r="BJ15" s="17">
        <f t="shared" ref="BJ15:BO15" si="2">SUM(BJ11:BJ14)</f>
        <v>26928</v>
      </c>
      <c r="BK15" s="17">
        <f t="shared" si="2"/>
        <v>27642</v>
      </c>
      <c r="BL15" s="17">
        <f t="shared" si="2"/>
        <v>27791</v>
      </c>
      <c r="BM15" s="17">
        <f t="shared" si="2"/>
        <v>25877</v>
      </c>
      <c r="BN15" s="17">
        <f t="shared" si="2"/>
        <v>23799</v>
      </c>
      <c r="BO15" s="17">
        <f t="shared" si="2"/>
        <v>22484</v>
      </c>
      <c r="BP15" s="17">
        <f>SUM(BP11:BP14)</f>
        <v>22589</v>
      </c>
      <c r="BQ15" s="17">
        <f>SUM(BQ11:BQ14)</f>
        <v>23383</v>
      </c>
      <c r="BR15" s="17">
        <f>SUM(BR11:BR14)</f>
        <v>23696</v>
      </c>
      <c r="BS15" s="17">
        <f>SUM(BS11:BS14)</f>
        <v>23745</v>
      </c>
      <c r="BT15" s="17">
        <f>SUM(BT11:BT14)</f>
        <v>23613</v>
      </c>
      <c r="BU15" s="12"/>
    </row>
    <row r="16" spans="1:73" ht="13.5" customHeight="1" x14ac:dyDescent="0.2">
      <c r="A16" s="11"/>
      <c r="C16" s="4" t="s">
        <v>65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2"/>
    </row>
    <row r="17" spans="1:75" ht="13.5" customHeight="1" x14ac:dyDescent="0.2">
      <c r="A17" s="11"/>
      <c r="D17" s="2" t="s">
        <v>66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v>344</v>
      </c>
      <c r="P17" s="17">
        <v>363</v>
      </c>
      <c r="Q17" s="17">
        <v>342</v>
      </c>
      <c r="R17" s="17">
        <v>343</v>
      </c>
      <c r="S17" s="17">
        <v>409</v>
      </c>
      <c r="T17" s="17"/>
      <c r="U17" s="17"/>
      <c r="V17" s="17"/>
      <c r="W17" s="17"/>
      <c r="X17" s="17"/>
      <c r="Y17" s="17"/>
      <c r="Z17" s="17">
        <v>408</v>
      </c>
      <c r="AA17" s="17">
        <v>416</v>
      </c>
      <c r="AB17" s="17">
        <v>438</v>
      </c>
      <c r="AC17" s="17">
        <v>449</v>
      </c>
      <c r="AD17" s="17">
        <v>454</v>
      </c>
      <c r="AE17" s="17">
        <v>430</v>
      </c>
      <c r="AF17" s="17">
        <v>416</v>
      </c>
      <c r="AG17" s="17">
        <v>412</v>
      </c>
      <c r="AH17" s="17">
        <v>424</v>
      </c>
      <c r="AI17" s="17">
        <v>429</v>
      </c>
      <c r="AJ17" s="17">
        <v>449</v>
      </c>
      <c r="AK17" s="17">
        <v>471</v>
      </c>
      <c r="AL17" s="17">
        <v>494</v>
      </c>
      <c r="AM17" s="17">
        <v>476</v>
      </c>
      <c r="AN17" s="17">
        <v>433</v>
      </c>
      <c r="AO17" s="17">
        <v>425</v>
      </c>
      <c r="AP17" s="17">
        <v>453</v>
      </c>
      <c r="AQ17" s="17">
        <v>447</v>
      </c>
      <c r="AR17" s="17">
        <v>445</v>
      </c>
      <c r="AS17" s="17">
        <v>483</v>
      </c>
      <c r="AT17" s="17">
        <v>531</v>
      </c>
      <c r="AU17" s="17">
        <f>496+37+17</f>
        <v>550</v>
      </c>
      <c r="AV17" s="17">
        <f>479+25+17</f>
        <v>521</v>
      </c>
      <c r="AW17" s="17">
        <v>524</v>
      </c>
      <c r="AX17" s="17">
        <v>536</v>
      </c>
      <c r="AY17" s="17">
        <v>520</v>
      </c>
      <c r="AZ17" s="17">
        <v>481</v>
      </c>
      <c r="BA17" s="17">
        <v>439</v>
      </c>
      <c r="BB17" s="17">
        <v>444</v>
      </c>
      <c r="BC17" s="17">
        <v>456</v>
      </c>
      <c r="BD17" s="17">
        <v>458</v>
      </c>
      <c r="BE17" s="17">
        <v>453</v>
      </c>
      <c r="BF17" s="17">
        <v>444</v>
      </c>
      <c r="BG17" s="17">
        <v>443</v>
      </c>
      <c r="BH17" s="17">
        <v>431</v>
      </c>
      <c r="BI17" s="17">
        <v>416</v>
      </c>
      <c r="BJ17" s="17">
        <v>396</v>
      </c>
      <c r="BK17" s="17">
        <v>368</v>
      </c>
      <c r="BL17" s="62">
        <v>335</v>
      </c>
      <c r="BM17" s="62">
        <v>312</v>
      </c>
      <c r="BN17" s="62">
        <v>284</v>
      </c>
      <c r="BO17" s="62">
        <v>276</v>
      </c>
      <c r="BP17" s="62">
        <v>274</v>
      </c>
      <c r="BQ17" s="62">
        <v>301</v>
      </c>
      <c r="BR17" s="62">
        <v>344</v>
      </c>
      <c r="BS17" s="62">
        <v>372</v>
      </c>
      <c r="BT17" s="62">
        <v>387</v>
      </c>
      <c r="BU17" s="12"/>
    </row>
    <row r="18" spans="1:75" ht="13.5" customHeight="1" x14ac:dyDescent="0.2">
      <c r="A18" s="11"/>
      <c r="D18" s="2" t="s">
        <v>67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v>320</v>
      </c>
      <c r="P18" s="17">
        <v>329</v>
      </c>
      <c r="Q18" s="17">
        <v>355</v>
      </c>
      <c r="R18" s="17">
        <v>368</v>
      </c>
      <c r="S18" s="17">
        <v>390</v>
      </c>
      <c r="T18" s="17"/>
      <c r="U18" s="17"/>
      <c r="V18" s="17"/>
      <c r="W18" s="17"/>
      <c r="X18" s="17"/>
      <c r="Y18" s="17"/>
      <c r="Z18" s="17">
        <v>454</v>
      </c>
      <c r="AA18" s="17">
        <v>464</v>
      </c>
      <c r="AB18" s="17">
        <v>461</v>
      </c>
      <c r="AC18" s="17">
        <v>439</v>
      </c>
      <c r="AD18" s="17">
        <v>454</v>
      </c>
      <c r="AE18" s="17">
        <v>440</v>
      </c>
      <c r="AF18" s="17">
        <v>431</v>
      </c>
      <c r="AG18" s="17">
        <v>443</v>
      </c>
      <c r="AH18" s="17">
        <v>440</v>
      </c>
      <c r="AI18" s="17">
        <v>430</v>
      </c>
      <c r="AJ18" s="17">
        <v>422</v>
      </c>
      <c r="AK18" s="17">
        <v>427</v>
      </c>
      <c r="AL18" s="17">
        <v>416</v>
      </c>
      <c r="AM18" s="17">
        <v>445</v>
      </c>
      <c r="AN18" s="17">
        <v>432</v>
      </c>
      <c r="AO18" s="17">
        <v>434</v>
      </c>
      <c r="AP18" s="17">
        <v>428</v>
      </c>
      <c r="AQ18" s="17">
        <v>419</v>
      </c>
      <c r="AR18" s="17">
        <v>389</v>
      </c>
      <c r="AS18" s="17">
        <v>387</v>
      </c>
      <c r="AT18" s="17">
        <v>380</v>
      </c>
      <c r="AU18" s="17">
        <f>368+4</f>
        <v>372</v>
      </c>
      <c r="AV18" s="17">
        <v>379</v>
      </c>
      <c r="AW18" s="17">
        <v>381</v>
      </c>
      <c r="AX18" s="17">
        <v>374</v>
      </c>
      <c r="AY18" s="17">
        <v>373</v>
      </c>
      <c r="AZ18" s="17">
        <v>372</v>
      </c>
      <c r="BA18" s="17">
        <v>373</v>
      </c>
      <c r="BB18" s="17">
        <v>372</v>
      </c>
      <c r="BC18" s="17">
        <v>375</v>
      </c>
      <c r="BD18" s="17">
        <v>375</v>
      </c>
      <c r="BE18" s="17">
        <v>387</v>
      </c>
      <c r="BF18" s="17">
        <v>385</v>
      </c>
      <c r="BG18" s="17">
        <v>388</v>
      </c>
      <c r="BH18" s="17">
        <v>392</v>
      </c>
      <c r="BI18" s="17">
        <v>402</v>
      </c>
      <c r="BJ18" s="17">
        <v>396</v>
      </c>
      <c r="BK18" s="17">
        <v>396</v>
      </c>
      <c r="BL18" s="62">
        <v>400</v>
      </c>
      <c r="BM18" s="62">
        <v>413</v>
      </c>
      <c r="BN18" s="62">
        <v>437</v>
      </c>
      <c r="BO18" s="62">
        <v>454</v>
      </c>
      <c r="BP18" s="62">
        <v>464</v>
      </c>
      <c r="BQ18" s="62">
        <v>487</v>
      </c>
      <c r="BR18" s="62">
        <v>485</v>
      </c>
      <c r="BS18" s="62">
        <v>499</v>
      </c>
      <c r="BT18" s="62">
        <v>502</v>
      </c>
      <c r="BU18" s="12"/>
    </row>
    <row r="19" spans="1:75" ht="13.5" customHeight="1" x14ac:dyDescent="0.2">
      <c r="A19" s="11"/>
      <c r="D19" s="2" t="s">
        <v>106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62"/>
      <c r="BM19" s="62"/>
      <c r="BN19" s="62"/>
      <c r="BO19" s="62"/>
      <c r="BP19" s="62"/>
      <c r="BQ19" s="62"/>
      <c r="BR19" s="62"/>
      <c r="BS19" s="62">
        <v>166</v>
      </c>
      <c r="BT19" s="62">
        <v>153</v>
      </c>
      <c r="BU19" s="12"/>
    </row>
    <row r="20" spans="1:75" ht="13.5" customHeight="1" x14ac:dyDescent="0.2">
      <c r="A20" s="11"/>
      <c r="D20" s="2" t="s">
        <v>98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62"/>
      <c r="BM20" s="62"/>
      <c r="BN20" s="62"/>
      <c r="BO20" s="62">
        <v>43</v>
      </c>
      <c r="BP20" s="62">
        <v>89</v>
      </c>
      <c r="BQ20" s="62">
        <v>91</v>
      </c>
      <c r="BR20" s="62">
        <v>100</v>
      </c>
      <c r="BS20" s="62">
        <v>108</v>
      </c>
      <c r="BT20" s="62">
        <v>150</v>
      </c>
      <c r="BU20" s="12"/>
    </row>
    <row r="21" spans="1:75" ht="13.5" customHeight="1" x14ac:dyDescent="0.2">
      <c r="A21" s="11"/>
      <c r="D21" s="2" t="s">
        <v>99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62"/>
      <c r="BM21" s="62"/>
      <c r="BN21" s="62"/>
      <c r="BO21" s="62">
        <v>171</v>
      </c>
      <c r="BP21" s="62">
        <v>174</v>
      </c>
      <c r="BQ21" s="62">
        <v>177</v>
      </c>
      <c r="BR21" s="62">
        <v>176</v>
      </c>
      <c r="BS21" s="62">
        <v>173</v>
      </c>
      <c r="BT21" s="62">
        <v>166</v>
      </c>
      <c r="BU21" s="12"/>
    </row>
    <row r="22" spans="1:75" ht="13.5" customHeight="1" x14ac:dyDescent="0.2">
      <c r="A22" s="11"/>
      <c r="D22" s="2" t="s">
        <v>68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168</v>
      </c>
      <c r="P22" s="18">
        <v>187</v>
      </c>
      <c r="Q22" s="18">
        <v>220</v>
      </c>
      <c r="R22" s="18">
        <v>233</v>
      </c>
      <c r="S22" s="18">
        <v>240</v>
      </c>
      <c r="T22" s="18"/>
      <c r="U22" s="18"/>
      <c r="V22" s="18"/>
      <c r="W22" s="18"/>
      <c r="X22" s="18"/>
      <c r="Y22" s="18"/>
      <c r="Z22" s="18">
        <v>284</v>
      </c>
      <c r="AA22" s="18">
        <v>289</v>
      </c>
      <c r="AB22" s="18">
        <v>293</v>
      </c>
      <c r="AC22" s="18">
        <v>296</v>
      </c>
      <c r="AD22" s="18">
        <v>300</v>
      </c>
      <c r="AE22" s="18">
        <v>300</v>
      </c>
      <c r="AF22" s="18">
        <v>296</v>
      </c>
      <c r="AG22" s="18">
        <v>296</v>
      </c>
      <c r="AH22" s="18">
        <v>301</v>
      </c>
      <c r="AI22" s="18">
        <v>294</v>
      </c>
      <c r="AJ22" s="18">
        <v>284</v>
      </c>
      <c r="AK22" s="18">
        <v>268</v>
      </c>
      <c r="AL22" s="18">
        <v>258</v>
      </c>
      <c r="AM22" s="18">
        <v>252</v>
      </c>
      <c r="AN22" s="18">
        <v>252</v>
      </c>
      <c r="AO22" s="18">
        <v>252</v>
      </c>
      <c r="AP22" s="18">
        <v>249</v>
      </c>
      <c r="AQ22" s="18">
        <v>247</v>
      </c>
      <c r="AR22" s="18">
        <v>254</v>
      </c>
      <c r="AS22" s="18">
        <v>257</v>
      </c>
      <c r="AT22" s="18">
        <v>251</v>
      </c>
      <c r="AU22" s="18">
        <f>234+12</f>
        <v>246</v>
      </c>
      <c r="AV22" s="18">
        <f>198+11+35+4</f>
        <v>248</v>
      </c>
      <c r="AW22" s="18">
        <v>250</v>
      </c>
      <c r="AX22" s="18">
        <v>252</v>
      </c>
      <c r="AY22" s="18">
        <v>253</v>
      </c>
      <c r="AZ22" s="18">
        <v>256</v>
      </c>
      <c r="BA22" s="18">
        <v>257</v>
      </c>
      <c r="BB22" s="18">
        <v>267</v>
      </c>
      <c r="BC22" s="18">
        <v>271</v>
      </c>
      <c r="BD22" s="18">
        <v>278</v>
      </c>
      <c r="BE22" s="18">
        <v>286</v>
      </c>
      <c r="BF22" s="18">
        <v>321</v>
      </c>
      <c r="BG22" s="18">
        <v>366</v>
      </c>
      <c r="BH22" s="18">
        <v>413</v>
      </c>
      <c r="BI22" s="18">
        <v>453</v>
      </c>
      <c r="BJ22" s="18">
        <v>462</v>
      </c>
      <c r="BK22" s="39">
        <v>458</v>
      </c>
      <c r="BL22" s="39">
        <v>458</v>
      </c>
      <c r="BM22" s="64">
        <v>459</v>
      </c>
      <c r="BN22" s="64">
        <v>460</v>
      </c>
      <c r="BO22" s="64">
        <v>463</v>
      </c>
      <c r="BP22" s="64">
        <v>473</v>
      </c>
      <c r="BQ22" s="64">
        <v>478</v>
      </c>
      <c r="BR22" s="64">
        <v>485</v>
      </c>
      <c r="BS22" s="64">
        <v>477</v>
      </c>
      <c r="BT22" s="64">
        <v>476</v>
      </c>
      <c r="BU22" s="12"/>
    </row>
    <row r="23" spans="1:75" ht="13.5" customHeight="1" x14ac:dyDescent="0.2">
      <c r="A23" s="1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>
        <f>SUM(O17:O22)</f>
        <v>832</v>
      </c>
      <c r="P23" s="17">
        <f>SUM(P17:P22)</f>
        <v>879</v>
      </c>
      <c r="Q23" s="17">
        <f>SUM(Q17:Q22)</f>
        <v>917</v>
      </c>
      <c r="R23" s="17">
        <f>SUM(R17:R22)</f>
        <v>944</v>
      </c>
      <c r="S23" s="17">
        <f>SUM(S17:S22)</f>
        <v>1039</v>
      </c>
      <c r="T23" s="17"/>
      <c r="U23" s="17">
        <v>1129</v>
      </c>
      <c r="V23" s="17"/>
      <c r="W23" s="17">
        <v>1127</v>
      </c>
      <c r="X23" s="17"/>
      <c r="Y23" s="17">
        <v>1129</v>
      </c>
      <c r="Z23" s="17">
        <f t="shared" ref="Z23:AQ23" si="3">SUM(Z17:Z22)</f>
        <v>1146</v>
      </c>
      <c r="AA23" s="17">
        <f t="shared" si="3"/>
        <v>1169</v>
      </c>
      <c r="AB23" s="17">
        <f t="shared" si="3"/>
        <v>1192</v>
      </c>
      <c r="AC23" s="17">
        <f t="shared" si="3"/>
        <v>1184</v>
      </c>
      <c r="AD23" s="17">
        <f t="shared" si="3"/>
        <v>1208</v>
      </c>
      <c r="AE23" s="17">
        <f t="shared" si="3"/>
        <v>1170</v>
      </c>
      <c r="AF23" s="17">
        <f t="shared" si="3"/>
        <v>1143</v>
      </c>
      <c r="AG23" s="17">
        <f t="shared" si="3"/>
        <v>1151</v>
      </c>
      <c r="AH23" s="17">
        <f t="shared" si="3"/>
        <v>1165</v>
      </c>
      <c r="AI23" s="17">
        <f t="shared" si="3"/>
        <v>1153</v>
      </c>
      <c r="AJ23" s="17">
        <f t="shared" si="3"/>
        <v>1155</v>
      </c>
      <c r="AK23" s="17">
        <f t="shared" si="3"/>
        <v>1166</v>
      </c>
      <c r="AL23" s="17">
        <f t="shared" si="3"/>
        <v>1168</v>
      </c>
      <c r="AM23" s="17">
        <f t="shared" si="3"/>
        <v>1173</v>
      </c>
      <c r="AN23" s="17">
        <f t="shared" si="3"/>
        <v>1117</v>
      </c>
      <c r="AO23" s="17">
        <f t="shared" si="3"/>
        <v>1111</v>
      </c>
      <c r="AP23" s="17">
        <f t="shared" si="3"/>
        <v>1130</v>
      </c>
      <c r="AQ23" s="17">
        <f t="shared" si="3"/>
        <v>1113</v>
      </c>
      <c r="AR23" s="17">
        <v>1088</v>
      </c>
      <c r="AS23" s="17">
        <f t="shared" ref="AS23:BJ23" si="4">SUM(AS17:AS22)</f>
        <v>1127</v>
      </c>
      <c r="AT23" s="17">
        <f t="shared" si="4"/>
        <v>1162</v>
      </c>
      <c r="AU23" s="17">
        <f t="shared" si="4"/>
        <v>1168</v>
      </c>
      <c r="AV23" s="17">
        <f t="shared" si="4"/>
        <v>1148</v>
      </c>
      <c r="AW23" s="17">
        <f t="shared" si="4"/>
        <v>1155</v>
      </c>
      <c r="AX23" s="17">
        <f t="shared" si="4"/>
        <v>1162</v>
      </c>
      <c r="AY23" s="17">
        <f t="shared" si="4"/>
        <v>1146</v>
      </c>
      <c r="AZ23" s="17">
        <f t="shared" si="4"/>
        <v>1109</v>
      </c>
      <c r="BA23" s="17">
        <f t="shared" si="4"/>
        <v>1069</v>
      </c>
      <c r="BB23" s="17">
        <f t="shared" si="4"/>
        <v>1083</v>
      </c>
      <c r="BC23" s="17">
        <f t="shared" si="4"/>
        <v>1102</v>
      </c>
      <c r="BD23" s="17">
        <f t="shared" si="4"/>
        <v>1111</v>
      </c>
      <c r="BE23" s="17">
        <f t="shared" si="4"/>
        <v>1126</v>
      </c>
      <c r="BF23" s="17">
        <f t="shared" si="4"/>
        <v>1150</v>
      </c>
      <c r="BG23" s="17">
        <f t="shared" si="4"/>
        <v>1197</v>
      </c>
      <c r="BH23" s="17">
        <f t="shared" si="4"/>
        <v>1236</v>
      </c>
      <c r="BI23" s="17">
        <f t="shared" si="4"/>
        <v>1271</v>
      </c>
      <c r="BJ23" s="17">
        <f t="shared" si="4"/>
        <v>1254</v>
      </c>
      <c r="BK23" s="17">
        <f t="shared" ref="BK23:BS23" si="5">SUM(BK17:BK22)</f>
        <v>1222</v>
      </c>
      <c r="BL23" s="17">
        <f t="shared" si="5"/>
        <v>1193</v>
      </c>
      <c r="BM23" s="17">
        <f t="shared" si="5"/>
        <v>1184</v>
      </c>
      <c r="BN23" s="17">
        <f t="shared" si="5"/>
        <v>1181</v>
      </c>
      <c r="BO23" s="17">
        <f t="shared" si="5"/>
        <v>1407</v>
      </c>
      <c r="BP23" s="17">
        <f t="shared" si="5"/>
        <v>1474</v>
      </c>
      <c r="BQ23" s="17">
        <f t="shared" si="5"/>
        <v>1534</v>
      </c>
      <c r="BR23" s="17">
        <f t="shared" si="5"/>
        <v>1590</v>
      </c>
      <c r="BS23" s="17">
        <f t="shared" si="5"/>
        <v>1795</v>
      </c>
      <c r="BT23" s="17">
        <f t="shared" ref="BT23" si="6">SUM(BT17:BT22)</f>
        <v>1834</v>
      </c>
      <c r="BU23" s="12"/>
    </row>
    <row r="24" spans="1:75" ht="13.5" customHeight="1" x14ac:dyDescent="0.2">
      <c r="A24" s="11"/>
      <c r="C24" s="4" t="s">
        <v>69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2"/>
    </row>
    <row r="25" spans="1:75" ht="13.5" customHeight="1" x14ac:dyDescent="0.2">
      <c r="A25" s="11"/>
      <c r="D25" s="2" t="s">
        <v>88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>2409-344+23</f>
        <v>2088</v>
      </c>
      <c r="P25" s="17">
        <v>2565</v>
      </c>
      <c r="Q25" s="17">
        <v>2091</v>
      </c>
      <c r="R25" s="17">
        <v>2118</v>
      </c>
      <c r="S25" s="17">
        <f>394+2278-409</f>
        <v>2263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>
        <f>2426+53+49</f>
        <v>2528</v>
      </c>
      <c r="AI25" s="17">
        <v>2616</v>
      </c>
      <c r="AJ25" s="17">
        <v>2788</v>
      </c>
      <c r="AK25" s="17">
        <v>2831</v>
      </c>
      <c r="AL25" s="17">
        <v>2919</v>
      </c>
      <c r="AM25" s="17">
        <v>2974</v>
      </c>
      <c r="AN25" s="17">
        <v>2908</v>
      </c>
      <c r="AO25" s="17">
        <f>857+668+897+302+5+1+32+1</f>
        <v>2763</v>
      </c>
      <c r="AP25" s="17">
        <f>785+663+831+279+2+2+31+1</f>
        <v>2594</v>
      </c>
      <c r="AQ25" s="17">
        <f>716+618+835+248+1+3+27+2</f>
        <v>2450</v>
      </c>
      <c r="AR25" s="17">
        <f>725+616+719+203+4+3+27+1</f>
        <v>2298</v>
      </c>
      <c r="AS25" s="17">
        <f>653+563+694+168+3+4+36+1</f>
        <v>2122</v>
      </c>
      <c r="AT25" s="17">
        <f>673+527+609+172+1+3+25+1</f>
        <v>2011</v>
      </c>
      <c r="AU25" s="17">
        <f>703+457+607+145+4+3+26</f>
        <v>1945</v>
      </c>
      <c r="AV25" s="17">
        <f>755+528+588+129+4+3+33+0</f>
        <v>2040</v>
      </c>
      <c r="AW25" s="17">
        <f>871+568+553+144+5+1+42+1</f>
        <v>2185</v>
      </c>
      <c r="AX25" s="17">
        <f>788+632+523+149+8+3+32+0</f>
        <v>2135</v>
      </c>
      <c r="AY25" s="17">
        <f>1023+720+857+256+12+1+30+3</f>
        <v>2902</v>
      </c>
      <c r="AZ25" s="17">
        <f>1006+595+777+322+12+2+47+7</f>
        <v>2768</v>
      </c>
      <c r="BA25" s="17">
        <f>995+526+755+364+13+5+31+12</f>
        <v>2701</v>
      </c>
      <c r="BB25" s="17">
        <f>1051+582+822+368+10+6+36+16</f>
        <v>2891</v>
      </c>
      <c r="BC25" s="17">
        <f>1105+643+757+383+7+3+51+11</f>
        <v>2960</v>
      </c>
      <c r="BD25" s="17">
        <f>1055+659+881+413+19+5+54+20</f>
        <v>3106</v>
      </c>
      <c r="BE25" s="17">
        <f>1035+672+946+460+19+6+66+19</f>
        <v>3223</v>
      </c>
      <c r="BF25" s="17">
        <f>1177+703+1002+492+14+11+57+25</f>
        <v>3481</v>
      </c>
      <c r="BG25" s="17">
        <f>1141+666+1054+527+16+8+46+19</f>
        <v>3477</v>
      </c>
      <c r="BH25" s="17">
        <f>1124+787+1064+471+9+10+52+17</f>
        <v>3534</v>
      </c>
      <c r="BI25" s="17">
        <f>1097+842+956+456+15+7+87+21</f>
        <v>3481</v>
      </c>
      <c r="BJ25" s="17">
        <f>1058+897+912+520+14+6+87+17</f>
        <v>3511</v>
      </c>
      <c r="BK25" s="17">
        <f>1033+874+960+612+17+3+75+25</f>
        <v>3599</v>
      </c>
      <c r="BL25" s="17">
        <f>993+835+876+658+18+5+71+31</f>
        <v>3487</v>
      </c>
      <c r="BM25" s="17">
        <f>974+717+858+695+16+6+49+21</f>
        <v>3336</v>
      </c>
      <c r="BN25" s="17">
        <f>869+696+870+639+18+7+73+20</f>
        <v>3192</v>
      </c>
      <c r="BO25" s="17">
        <f>836+708+1023+827+20+7+88+18</f>
        <v>3527</v>
      </c>
      <c r="BP25" s="17">
        <f>813+657+1071+909+16+9+77+20</f>
        <v>3572</v>
      </c>
      <c r="BQ25" s="17">
        <f>784+648+1154+1097+20+13+91+32</f>
        <v>3839</v>
      </c>
      <c r="BR25" s="17">
        <f>738+578+1275+1192+14+4+78+26</f>
        <v>3905</v>
      </c>
      <c r="BS25" s="17">
        <f>735+569+1296+1057+11+5+86+28</f>
        <v>3787</v>
      </c>
      <c r="BT25" s="17">
        <f>693+569+1253+900+16+2+71+19</f>
        <v>3523</v>
      </c>
      <c r="BU25" s="12"/>
    </row>
    <row r="26" spans="1:75" ht="13.5" customHeight="1" x14ac:dyDescent="0.2">
      <c r="A26" s="11"/>
      <c r="D26" s="2" t="s">
        <v>70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v>1110</v>
      </c>
      <c r="P26" s="17">
        <v>1326</v>
      </c>
      <c r="Q26" s="17">
        <v>1338</v>
      </c>
      <c r="R26" s="17">
        <v>1430</v>
      </c>
      <c r="S26" s="17">
        <v>1389</v>
      </c>
      <c r="T26" s="17"/>
      <c r="U26" s="17"/>
      <c r="V26" s="17"/>
      <c r="W26" s="17"/>
      <c r="X26" s="17"/>
      <c r="Y26" s="17"/>
      <c r="Z26" s="17">
        <v>1212</v>
      </c>
      <c r="AA26" s="17"/>
      <c r="AB26" s="17"/>
      <c r="AC26" s="17"/>
      <c r="AD26" s="17"/>
      <c r="AE26" s="17"/>
      <c r="AF26" s="17"/>
      <c r="AG26" s="17"/>
      <c r="AH26" s="17">
        <f>1291</f>
        <v>1291</v>
      </c>
      <c r="AI26" s="17">
        <v>1322</v>
      </c>
      <c r="AJ26" s="17">
        <v>1395</v>
      </c>
      <c r="AK26" s="17">
        <v>1376</v>
      </c>
      <c r="AL26" s="17">
        <v>1391</v>
      </c>
      <c r="AM26" s="17">
        <v>1536</v>
      </c>
      <c r="AN26" s="17">
        <v>1610</v>
      </c>
      <c r="AO26" s="17">
        <f>224+457+566+361</f>
        <v>1608</v>
      </c>
      <c r="AP26" s="17">
        <f>225+461+539+390</f>
        <v>1615</v>
      </c>
      <c r="AQ26" s="17">
        <f>227+499+575+367</f>
        <v>1668</v>
      </c>
      <c r="AR26" s="17">
        <f>233+509+624+354</f>
        <v>1720</v>
      </c>
      <c r="AS26" s="17">
        <f>215+474+599+350</f>
        <v>1638</v>
      </c>
      <c r="AT26" s="17">
        <f>203+466+598+335</f>
        <v>1602</v>
      </c>
      <c r="AU26" s="17">
        <f>208+455+576+349</f>
        <v>1588</v>
      </c>
      <c r="AV26" s="17">
        <f>199+475+629+330</f>
        <v>1633</v>
      </c>
      <c r="AW26" s="17">
        <f>188+493+600+329</f>
        <v>1610</v>
      </c>
      <c r="AX26" s="17">
        <f>211+520+617+317</f>
        <v>1665</v>
      </c>
      <c r="AY26" s="17">
        <f>223+545+566+331</f>
        <v>1665</v>
      </c>
      <c r="AZ26" s="17">
        <f>245+605+687+373</f>
        <v>1910</v>
      </c>
      <c r="BA26" s="17">
        <f>270+640+643+390</f>
        <v>1943</v>
      </c>
      <c r="BB26" s="17">
        <f>292+648+700+432</f>
        <v>2072</v>
      </c>
      <c r="BC26" s="17">
        <f>336+643+658+464</f>
        <v>2101</v>
      </c>
      <c r="BD26" s="17">
        <f>305+626+700+476</f>
        <v>2107</v>
      </c>
      <c r="BE26" s="17">
        <f>322+671+659+480</f>
        <v>2132</v>
      </c>
      <c r="BF26" s="17">
        <f>376+709+679+493</f>
        <v>2257</v>
      </c>
      <c r="BG26" s="17">
        <f>408+714+671+532</f>
        <v>2325</v>
      </c>
      <c r="BH26" s="17">
        <f>750+1067+416+282</f>
        <v>2515</v>
      </c>
      <c r="BI26" s="17">
        <f>791+1073+368+297</f>
        <v>2529</v>
      </c>
      <c r="BJ26" s="17">
        <f>712+1114+453+310</f>
        <v>2589</v>
      </c>
      <c r="BK26" s="17">
        <f>754+1157+387+326</f>
        <v>2624</v>
      </c>
      <c r="BL26" s="17">
        <f>711+1191+444+346</f>
        <v>2692</v>
      </c>
      <c r="BM26" s="17">
        <f>729+1132+363+369</f>
        <v>2593</v>
      </c>
      <c r="BN26" s="17">
        <f>682+1036+401+383</f>
        <v>2502</v>
      </c>
      <c r="BO26" s="17">
        <f>507+1053+307+340</f>
        <v>2207</v>
      </c>
      <c r="BP26" s="17">
        <f>429+989+391+388</f>
        <v>2197</v>
      </c>
      <c r="BQ26" s="17">
        <f>455+949+329+362</f>
        <v>2095</v>
      </c>
      <c r="BR26" s="17">
        <f>413+906+326+404</f>
        <v>2049</v>
      </c>
      <c r="BS26" s="17">
        <f>400+860+208+341</f>
        <v>1809</v>
      </c>
      <c r="BT26" s="17">
        <f>370+940+218+333</f>
        <v>1861</v>
      </c>
      <c r="BU26" s="12"/>
    </row>
    <row r="27" spans="1:75" ht="13.5" customHeight="1" x14ac:dyDescent="0.2">
      <c r="A27" s="11"/>
      <c r="D27" s="2" t="s">
        <v>64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>
        <v>284</v>
      </c>
      <c r="P27" s="18">
        <v>32</v>
      </c>
      <c r="Q27" s="18">
        <v>164</v>
      </c>
      <c r="R27" s="18">
        <v>258</v>
      </c>
      <c r="S27" s="18">
        <v>267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>
        <v>773</v>
      </c>
      <c r="AH27" s="18">
        <f>775+17</f>
        <v>792</v>
      </c>
      <c r="AI27" s="18">
        <v>729</v>
      </c>
      <c r="AJ27" s="18">
        <v>678</v>
      </c>
      <c r="AK27" s="18">
        <v>670</v>
      </c>
      <c r="AL27" s="18">
        <v>670</v>
      </c>
      <c r="AM27" s="18">
        <v>617</v>
      </c>
      <c r="AN27" s="18">
        <v>658</v>
      </c>
      <c r="AO27" s="18">
        <f>90+12+441+19</f>
        <v>562</v>
      </c>
      <c r="AP27" s="18">
        <f>83+9+408+21</f>
        <v>521</v>
      </c>
      <c r="AQ27" s="18">
        <f>71+12+394+28</f>
        <v>505</v>
      </c>
      <c r="AR27" s="18">
        <f>83+9+344+30</f>
        <v>466</v>
      </c>
      <c r="AS27" s="18">
        <f>84+18+332+33</f>
        <v>467</v>
      </c>
      <c r="AT27" s="18">
        <f>67+18+318+28</f>
        <v>431</v>
      </c>
      <c r="AU27" s="18">
        <f>61+18+275+27</f>
        <v>381</v>
      </c>
      <c r="AV27" s="18">
        <f>49+16+219+14</f>
        <v>298</v>
      </c>
      <c r="AW27" s="18">
        <f>51+19+211+20</f>
        <v>301</v>
      </c>
      <c r="AX27" s="18">
        <f>30+17+205+22</f>
        <v>274</v>
      </c>
      <c r="AY27" s="18">
        <f>39+14+534+126</f>
        <v>713</v>
      </c>
      <c r="AZ27" s="18">
        <f>47+17+375+138</f>
        <v>577</v>
      </c>
      <c r="BA27" s="18">
        <f>42+23+246+96</f>
        <v>407</v>
      </c>
      <c r="BB27" s="18">
        <f>45+23+356+125</f>
        <v>549</v>
      </c>
      <c r="BC27" s="18">
        <f>38+26+328+145</f>
        <v>537</v>
      </c>
      <c r="BD27" s="18">
        <f>28+21+348+98</f>
        <v>495</v>
      </c>
      <c r="BE27" s="18">
        <f>33+25+469+142</f>
        <v>669</v>
      </c>
      <c r="BF27" s="18">
        <f>29+17+381+123</f>
        <v>550</v>
      </c>
      <c r="BG27" s="18">
        <f>26+20+357+105</f>
        <v>508</v>
      </c>
      <c r="BH27" s="18">
        <f>23+24+345+93</f>
        <v>485</v>
      </c>
      <c r="BI27" s="18">
        <f>26+26+337+74</f>
        <v>463</v>
      </c>
      <c r="BJ27" s="18">
        <f>11+25+225+73</f>
        <v>334</v>
      </c>
      <c r="BK27" s="18">
        <f>18+45+183+92</f>
        <v>338</v>
      </c>
      <c r="BL27" s="18">
        <f>9+26+150+76</f>
        <v>261</v>
      </c>
      <c r="BM27" s="65">
        <f>9+17+166+57</f>
        <v>249</v>
      </c>
      <c r="BN27" s="65">
        <f>5+12+102+51</f>
        <v>170</v>
      </c>
      <c r="BO27" s="65">
        <f>7+12+133+66</f>
        <v>218</v>
      </c>
      <c r="BP27" s="65">
        <f>8+9+124+41</f>
        <v>182</v>
      </c>
      <c r="BQ27" s="65">
        <f>7+20+107+104</f>
        <v>238</v>
      </c>
      <c r="BR27" s="65">
        <f>6+13+85+57</f>
        <v>161</v>
      </c>
      <c r="BS27" s="65">
        <f>5+17+94+52</f>
        <v>168</v>
      </c>
      <c r="BT27" s="65">
        <f>9+13+102+58</f>
        <v>182</v>
      </c>
      <c r="BU27" s="12"/>
    </row>
    <row r="28" spans="1:75" ht="13.5" customHeight="1" x14ac:dyDescent="0.2">
      <c r="A28" s="11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>SUM(O25:O27)</f>
        <v>3482</v>
      </c>
      <c r="P28" s="17">
        <f>SUM(P25:P27)</f>
        <v>3923</v>
      </c>
      <c r="Q28" s="17">
        <f>SUM(Q25:Q27)</f>
        <v>3593</v>
      </c>
      <c r="R28" s="17">
        <f>SUM(R25:R27)</f>
        <v>3806</v>
      </c>
      <c r="S28" s="17">
        <f>SUM(S25:S27)</f>
        <v>3919</v>
      </c>
      <c r="T28" s="17"/>
      <c r="U28" s="17">
        <v>4141</v>
      </c>
      <c r="V28" s="17"/>
      <c r="W28" s="17">
        <v>4352</v>
      </c>
      <c r="X28" s="17"/>
      <c r="Y28" s="17">
        <v>4586</v>
      </c>
      <c r="Z28" s="17">
        <v>4573</v>
      </c>
      <c r="AA28" s="17">
        <v>4912</v>
      </c>
      <c r="AB28" s="17">
        <v>4853</v>
      </c>
      <c r="AC28" s="17">
        <v>4825</v>
      </c>
      <c r="AD28" s="17">
        <v>4953</v>
      </c>
      <c r="AE28" s="17">
        <v>4707</v>
      </c>
      <c r="AF28" s="17">
        <v>4793</v>
      </c>
      <c r="AG28" s="17">
        <v>4628</v>
      </c>
      <c r="AH28" s="17">
        <f>SUM(AH25:AH27)</f>
        <v>4611</v>
      </c>
      <c r="AI28" s="17">
        <f>SUM(AI25:AI27)</f>
        <v>4667</v>
      </c>
      <c r="AJ28" s="17">
        <f t="shared" ref="AJ28:BM28" si="7">SUM(AJ25:AJ27)</f>
        <v>4861</v>
      </c>
      <c r="AK28" s="17">
        <f t="shared" si="7"/>
        <v>4877</v>
      </c>
      <c r="AL28" s="17">
        <f t="shared" si="7"/>
        <v>4980</v>
      </c>
      <c r="AM28" s="17">
        <f t="shared" si="7"/>
        <v>5127</v>
      </c>
      <c r="AN28" s="17">
        <f t="shared" si="7"/>
        <v>5176</v>
      </c>
      <c r="AO28" s="17">
        <f t="shared" si="7"/>
        <v>4933</v>
      </c>
      <c r="AP28" s="17">
        <f>SUM(AP25:AP27)</f>
        <v>4730</v>
      </c>
      <c r="AQ28" s="17">
        <f t="shared" si="7"/>
        <v>4623</v>
      </c>
      <c r="AR28" s="17">
        <f t="shared" si="7"/>
        <v>4484</v>
      </c>
      <c r="AS28" s="17">
        <f t="shared" si="7"/>
        <v>4227</v>
      </c>
      <c r="AT28" s="17">
        <f t="shared" si="7"/>
        <v>4044</v>
      </c>
      <c r="AU28" s="17">
        <f t="shared" si="7"/>
        <v>3914</v>
      </c>
      <c r="AV28" s="17">
        <f t="shared" si="7"/>
        <v>3971</v>
      </c>
      <c r="AW28" s="17">
        <f t="shared" si="7"/>
        <v>4096</v>
      </c>
      <c r="AX28" s="17">
        <f t="shared" si="7"/>
        <v>4074</v>
      </c>
      <c r="AY28" s="17">
        <f t="shared" si="7"/>
        <v>5280</v>
      </c>
      <c r="AZ28" s="17">
        <f t="shared" si="7"/>
        <v>5255</v>
      </c>
      <c r="BA28" s="17">
        <f t="shared" si="7"/>
        <v>5051</v>
      </c>
      <c r="BB28" s="17">
        <f t="shared" si="7"/>
        <v>5512</v>
      </c>
      <c r="BC28" s="17">
        <f t="shared" si="7"/>
        <v>5598</v>
      </c>
      <c r="BD28" s="17">
        <f t="shared" si="7"/>
        <v>5708</v>
      </c>
      <c r="BE28" s="17">
        <f t="shared" si="7"/>
        <v>6024</v>
      </c>
      <c r="BF28" s="17">
        <f t="shared" si="7"/>
        <v>6288</v>
      </c>
      <c r="BG28" s="17">
        <f t="shared" si="7"/>
        <v>6310</v>
      </c>
      <c r="BH28" s="17">
        <f t="shared" si="7"/>
        <v>6534</v>
      </c>
      <c r="BI28" s="17">
        <f t="shared" si="7"/>
        <v>6473</v>
      </c>
      <c r="BJ28" s="17">
        <f t="shared" si="7"/>
        <v>6434</v>
      </c>
      <c r="BK28" s="17">
        <f t="shared" si="7"/>
        <v>6561</v>
      </c>
      <c r="BL28" s="17">
        <f t="shared" si="7"/>
        <v>6440</v>
      </c>
      <c r="BM28" s="17">
        <f t="shared" si="7"/>
        <v>6178</v>
      </c>
      <c r="BN28" s="17">
        <f t="shared" ref="BN28:BS28" si="8">SUM(BN25:BN27)</f>
        <v>5864</v>
      </c>
      <c r="BO28" s="17">
        <f t="shared" si="8"/>
        <v>5952</v>
      </c>
      <c r="BP28" s="17">
        <f t="shared" si="8"/>
        <v>5951</v>
      </c>
      <c r="BQ28" s="17">
        <f t="shared" si="8"/>
        <v>6172</v>
      </c>
      <c r="BR28" s="17">
        <f t="shared" si="8"/>
        <v>6115</v>
      </c>
      <c r="BS28" s="17">
        <f t="shared" si="8"/>
        <v>5764</v>
      </c>
      <c r="BT28" s="17">
        <f t="shared" ref="BT28" si="9">SUM(BT25:BT27)</f>
        <v>5566</v>
      </c>
      <c r="BU28" s="12"/>
    </row>
    <row r="29" spans="1:75" ht="13.5" customHeight="1" x14ac:dyDescent="0.2">
      <c r="A29" s="1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2"/>
    </row>
    <row r="30" spans="1:75" ht="13.5" customHeight="1" x14ac:dyDescent="0.2">
      <c r="A30" s="11"/>
      <c r="C30" s="4" t="s">
        <v>71</v>
      </c>
      <c r="E30" s="17">
        <v>3986</v>
      </c>
      <c r="F30" s="17">
        <v>3984</v>
      </c>
      <c r="G30" s="17">
        <v>5670</v>
      </c>
      <c r="H30" s="17">
        <v>3936</v>
      </c>
      <c r="I30" s="17">
        <v>8756</v>
      </c>
      <c r="J30" s="17">
        <v>8983</v>
      </c>
      <c r="K30" s="17">
        <v>11216</v>
      </c>
      <c r="L30" s="17"/>
      <c r="M30" s="17"/>
      <c r="N30" s="17">
        <v>17367</v>
      </c>
      <c r="O30" s="17">
        <f>O15+O23+O28</f>
        <v>18669</v>
      </c>
      <c r="P30" s="17">
        <f>P15+P23+P28</f>
        <v>20124</v>
      </c>
      <c r="Q30" s="17">
        <f>Q15+Q23+Q28</f>
        <v>20113</v>
      </c>
      <c r="R30" s="17">
        <f>R15+R23+R28</f>
        <v>21082</v>
      </c>
      <c r="S30" s="17">
        <f>S15+S23+S28</f>
        <v>21681</v>
      </c>
      <c r="T30" s="17"/>
      <c r="U30" s="17">
        <f>U15+U23+U28</f>
        <v>22101</v>
      </c>
      <c r="V30" s="17"/>
      <c r="W30" s="17">
        <f>W15+W23+W28</f>
        <v>22961</v>
      </c>
      <c r="X30" s="17">
        <v>24068</v>
      </c>
      <c r="Y30" s="17">
        <f t="shared" ref="Y30:BI30" si="10">Y15+Y23+Y28</f>
        <v>23325</v>
      </c>
      <c r="Z30" s="17">
        <f t="shared" si="10"/>
        <v>23474</v>
      </c>
      <c r="AA30" s="17">
        <f t="shared" si="10"/>
        <v>23415</v>
      </c>
      <c r="AB30" s="17">
        <f t="shared" si="10"/>
        <v>23545</v>
      </c>
      <c r="AC30" s="17">
        <f t="shared" si="10"/>
        <v>24579</v>
      </c>
      <c r="AD30" s="17">
        <f t="shared" si="10"/>
        <v>25081</v>
      </c>
      <c r="AE30" s="17">
        <f t="shared" si="10"/>
        <v>24763</v>
      </c>
      <c r="AF30" s="17">
        <f t="shared" si="10"/>
        <v>24275</v>
      </c>
      <c r="AG30" s="17">
        <f t="shared" si="10"/>
        <v>23585</v>
      </c>
      <c r="AH30" s="17">
        <f t="shared" si="10"/>
        <v>23047</v>
      </c>
      <c r="AI30" s="17">
        <f t="shared" si="10"/>
        <v>22727</v>
      </c>
      <c r="AJ30" s="17">
        <f t="shared" si="10"/>
        <v>22958</v>
      </c>
      <c r="AK30" s="17">
        <f t="shared" si="10"/>
        <v>23568</v>
      </c>
      <c r="AL30" s="17">
        <f t="shared" si="10"/>
        <v>24344</v>
      </c>
      <c r="AM30" s="17">
        <f t="shared" si="10"/>
        <v>25063</v>
      </c>
      <c r="AN30" s="17">
        <f t="shared" si="10"/>
        <v>24739</v>
      </c>
      <c r="AO30" s="17">
        <f t="shared" si="10"/>
        <v>23430</v>
      </c>
      <c r="AP30" s="17">
        <f t="shared" si="10"/>
        <v>22225</v>
      </c>
      <c r="AQ30" s="17">
        <f t="shared" si="10"/>
        <v>22175</v>
      </c>
      <c r="AR30" s="17">
        <f t="shared" si="10"/>
        <v>22356</v>
      </c>
      <c r="AS30" s="17">
        <f t="shared" si="10"/>
        <v>22519</v>
      </c>
      <c r="AT30" s="17">
        <f t="shared" si="10"/>
        <v>22552</v>
      </c>
      <c r="AU30" s="17">
        <f t="shared" si="10"/>
        <v>22780</v>
      </c>
      <c r="AV30" s="17">
        <f t="shared" si="10"/>
        <v>22930</v>
      </c>
      <c r="AW30" s="17">
        <f t="shared" si="10"/>
        <v>23309</v>
      </c>
      <c r="AX30" s="17">
        <f t="shared" si="10"/>
        <v>23667</v>
      </c>
      <c r="AY30" s="17">
        <f t="shared" si="10"/>
        <v>26124</v>
      </c>
      <c r="AZ30" s="17">
        <f t="shared" si="10"/>
        <v>26805</v>
      </c>
      <c r="BA30" s="17">
        <f t="shared" si="10"/>
        <v>27003</v>
      </c>
      <c r="BB30" s="17">
        <f t="shared" si="10"/>
        <v>27930</v>
      </c>
      <c r="BC30" s="17">
        <f t="shared" si="10"/>
        <v>28184</v>
      </c>
      <c r="BD30" s="17">
        <f t="shared" si="10"/>
        <v>28405</v>
      </c>
      <c r="BE30" s="17">
        <f t="shared" si="10"/>
        <v>30130</v>
      </c>
      <c r="BF30" s="17">
        <f t="shared" si="10"/>
        <v>31237</v>
      </c>
      <c r="BG30" s="17">
        <f t="shared" si="10"/>
        <v>32341</v>
      </c>
      <c r="BH30" s="17">
        <f t="shared" si="10"/>
        <v>33762</v>
      </c>
      <c r="BI30" s="17">
        <f t="shared" si="10"/>
        <v>34704</v>
      </c>
      <c r="BJ30" s="17">
        <f t="shared" ref="BJ30:BO30" si="11">BJ15+BJ23+BJ28</f>
        <v>34616</v>
      </c>
      <c r="BK30" s="17">
        <f t="shared" si="11"/>
        <v>35425</v>
      </c>
      <c r="BL30" s="17">
        <f t="shared" si="11"/>
        <v>35424</v>
      </c>
      <c r="BM30" s="17">
        <f t="shared" si="11"/>
        <v>33239</v>
      </c>
      <c r="BN30" s="17">
        <f t="shared" si="11"/>
        <v>30844</v>
      </c>
      <c r="BO30" s="17">
        <f t="shared" si="11"/>
        <v>29843</v>
      </c>
      <c r="BP30" s="17">
        <f>BP15+BP23+BP28</f>
        <v>30014</v>
      </c>
      <c r="BQ30" s="17">
        <f>BQ15+BQ23+BQ28</f>
        <v>31089</v>
      </c>
      <c r="BR30" s="17">
        <f>BR15+BR23+BR28</f>
        <v>31401</v>
      </c>
      <c r="BS30" s="17">
        <f>BS15+BS23+BS28</f>
        <v>31304</v>
      </c>
      <c r="BT30" s="17">
        <f>BT15+BT23+BT28</f>
        <v>31013</v>
      </c>
      <c r="BU30" s="12"/>
      <c r="BW30" s="62"/>
    </row>
    <row r="31" spans="1:75" ht="13.5" customHeight="1" x14ac:dyDescent="0.2">
      <c r="A31" s="1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2"/>
    </row>
    <row r="32" spans="1:75" ht="13.5" customHeight="1" x14ac:dyDescent="0.2">
      <c r="A32" s="11"/>
      <c r="B32" s="57" t="s">
        <v>72</v>
      </c>
      <c r="C32" s="27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12"/>
    </row>
    <row r="33" spans="1:75" ht="13.5" customHeight="1" x14ac:dyDescent="0.2">
      <c r="A33" s="11"/>
      <c r="D33" s="2" t="s">
        <v>62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>
        <v>14201</v>
      </c>
      <c r="P33" s="17">
        <v>15127</v>
      </c>
      <c r="Q33" s="17">
        <v>15394</v>
      </c>
      <c r="R33" s="17">
        <v>16049</v>
      </c>
      <c r="S33" s="17">
        <v>16479</v>
      </c>
      <c r="T33" s="17"/>
      <c r="U33" s="17"/>
      <c r="V33" s="17"/>
      <c r="W33" s="17"/>
      <c r="X33" s="17"/>
      <c r="Y33" s="17"/>
      <c r="Z33" s="17">
        <v>17162</v>
      </c>
      <c r="AA33" s="17">
        <v>16666</v>
      </c>
      <c r="AB33" s="17">
        <v>16799</v>
      </c>
      <c r="AC33" s="17">
        <v>17828</v>
      </c>
      <c r="AD33" s="17">
        <v>18179</v>
      </c>
      <c r="AE33" s="17">
        <v>18137</v>
      </c>
      <c r="AF33" s="17">
        <v>17554</v>
      </c>
      <c r="AG33" s="17">
        <v>16964</v>
      </c>
      <c r="AH33" s="17">
        <v>16343</v>
      </c>
      <c r="AI33" s="17">
        <v>15733</v>
      </c>
      <c r="AJ33" s="17">
        <v>15617</v>
      </c>
      <c r="AK33" s="17">
        <v>15909</v>
      </c>
      <c r="AL33" s="17">
        <v>16456</v>
      </c>
      <c r="AM33" s="17">
        <v>16877</v>
      </c>
      <c r="AN33" s="17">
        <v>16611</v>
      </c>
      <c r="AO33" s="17">
        <f>2387.9+336.6+13.7+8.3+10616.4+1436+535.7+70+8+33.6+108.6+14.1</f>
        <v>15568.900000000001</v>
      </c>
      <c r="AP33" s="17">
        <f>2353+352.2+19.9+3.5+9821.8+1245.5+548.3+53.5+15.3+28.3+100.9+10.6</f>
        <v>14552.799999999997</v>
      </c>
      <c r="AQ33" s="17">
        <f>2816.1+511.5+16.7+10.5+9219.1+1112.7+595.8+70.1+7.5+55.7+94.1+13.3</f>
        <v>14523.1</v>
      </c>
      <c r="AR33" s="17">
        <f>2950.3+581.8+19.3+14+9364+1137.7+620+76.8+2.5+56.6+74.9+8.7</f>
        <v>14906.600000000002</v>
      </c>
      <c r="AS33" s="17">
        <f>2870.7+569.7+18.3+5.5+9789.1+1331.9+506.1+71.1+3.3+43.3+83.5+13.5</f>
        <v>15305.999999999998</v>
      </c>
      <c r="AT33" s="17">
        <f>2686.3+563.8+11.8+7.5+10096.7+1402.1+544.1+63.7+3.3+36.7+68.7+11.1</f>
        <v>15495.800000000005</v>
      </c>
      <c r="AU33" s="17">
        <f>3523.3+32+11664.1+533.8+34.8+75.7</f>
        <v>15863.7</v>
      </c>
      <c r="AV33" s="17">
        <f>2903.2+662.3+23+10.4+10353.6+1437.7+432.4+48.4+3.8+35.7+60.4+9.1</f>
        <v>15980</v>
      </c>
      <c r="AW33" s="17">
        <f>3227.5+666.3+24.3+7.6+10352.1+1523.4+366.4+33+5.9+48.6+58.7+3.1</f>
        <v>16316.900000000001</v>
      </c>
      <c r="AX33" s="17">
        <f>3141.3+682.6+16.1+14.3+10777.6+1525.9+360.9+35.6+2.8+40.2+49.7+6.1</f>
        <v>16653.099999999999</v>
      </c>
      <c r="AY33" s="17">
        <f>3348.3+707.9+28.3+7.5+11345.1+1575.5+428.2+40.5+5.8+42.9+82.7+21.7</f>
        <v>17634.400000000001</v>
      </c>
      <c r="AZ33" s="17">
        <f>3567.2+739.5+26.2+10.2+11851.3+1606.9+432.5+39.5+4.4+29.5+75.5+23.1</f>
        <v>18405.8</v>
      </c>
      <c r="BA33" s="17">
        <f>3529.5+831.4+14.7+8.5+12292.9+1713.5+437.5+37.9+4+26.3+60.9+22.3</f>
        <v>18979.400000000001</v>
      </c>
      <c r="BB33" s="17">
        <f>3464.6+913.5+25.2+8.1+12585.3+1842.4+463.1+35.8+2.7+24.2+61.1+14.8</f>
        <v>19440.8</v>
      </c>
      <c r="BC33" s="17">
        <f>3709.1+905.4+16+13.4+12695.7+1880.4+429.9+35.1+0.8+26.9+55.9+11.9</f>
        <v>19780.500000000004</v>
      </c>
      <c r="BD33" s="17">
        <f>3757.5+946.8+29.6+16.9+12521.3+1979.9+465.7+47.2+8.3+28.9+38.9+5.6</f>
        <v>19846.600000000002</v>
      </c>
      <c r="BE33" s="17">
        <f>4219.5+1269.3+27.1+21+12941+2119.5+428.3+50.5+1.7+40.3+58.5+19.9</f>
        <v>21196.600000000002</v>
      </c>
      <c r="BF33" s="17">
        <f>3795.4+1451.1+29.7+26.5+13665.2+2328.5+494.5+52+1.7+36.5+51+10.6</f>
        <v>21942.7</v>
      </c>
      <c r="BG33" s="17">
        <f>4093.9+1625.8+32.4+19.3+13740.2+2737.1+498+62.6+0.8+43.1+36.3+9.7</f>
        <v>22899.199999999993</v>
      </c>
      <c r="BH33" s="17">
        <f>3943.1+1783.1+24.7+27.3+14230.5+3040+544.8+99.3+1.8+94.6+40.5+10.3</f>
        <v>23839.999999999996</v>
      </c>
      <c r="BI33" s="17">
        <f>3881.7+2179.9+20.6+50.5+14318.7+3354.9+584.5+109+2.6+106.9+55.7+11.5</f>
        <v>24676.500000000004</v>
      </c>
      <c r="BJ33" s="17">
        <f>3565.1+2156.3+21.8+60.5+14243.9+3928.5+529.7+103.5+1.7+71.9+54.7+15.4</f>
        <v>24753.000000000004</v>
      </c>
      <c r="BK33" s="17">
        <f>3727.7+2339.1+16.9+51.4+13999.4+4387+569.1+117.4+5.8+83.5+49.1+24.1</f>
        <v>25370.499999999996</v>
      </c>
      <c r="BL33" s="17">
        <f>3510.3+2218.9+24.3+72.7+14292.7+4655.1+513.5+131.6+11.9+86.3+53.6+28.7</f>
        <v>25599.599999999999</v>
      </c>
      <c r="BM33" s="17">
        <f>2983+1465.5+16.1+46.1+13983.5+4575.8+517.3+145.4+11.5+42.7+50.6+26.5</f>
        <v>23864</v>
      </c>
      <c r="BN33" s="17">
        <f>2604.1+1298.6+9.9+12.8+13537.4+3763.1+494.5+121.9+7+48.5+58.9+17.6</f>
        <v>21974.3</v>
      </c>
      <c r="BO33" s="17">
        <f>2993.4+1388.8+17.9+17.9+12328.6+3054.1+502.5+116.8+7.9+37.5+81.6+18.5</f>
        <v>20565.499999999996</v>
      </c>
      <c r="BP33" s="17">
        <f>3595.1+1521.1+18.8+18.5+11810.1+2820.4+465.9+104.7+9.3+23.5+107+30.5</f>
        <v>20524.900000000001</v>
      </c>
      <c r="BQ33" s="17">
        <f>3570.6+1425.1+28.7+9.5+12753.9+2720.9+496.9+97.9+17.6+156.3+20.3</f>
        <v>21297.7</v>
      </c>
      <c r="BR33" s="17">
        <f>3111.3+1438.5+29.1+9.1+13339.9+3044.7+477.3+78.5+6.7+31+125.2+10.5</f>
        <v>21701.800000000003</v>
      </c>
      <c r="BS33" s="17">
        <f>3322.9+1429.5+20.9+11.2+13297.9+3090.3+481.7+82.6+6.5+34.2+105.1+17.4</f>
        <v>21900.199999999997</v>
      </c>
      <c r="BT33" s="17">
        <f>3314.4+1658.3+12.5+8.9+13500.4+2972.4+407.6+71.8+7.2+31.9+98.5+17.6</f>
        <v>22101.5</v>
      </c>
      <c r="BU33" s="19"/>
      <c r="BW33" s="68"/>
    </row>
    <row r="34" spans="1:75" ht="13.5" customHeight="1" x14ac:dyDescent="0.2">
      <c r="A34" s="11"/>
      <c r="D34" s="2" t="s">
        <v>65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v>830</v>
      </c>
      <c r="P34" s="17">
        <v>877</v>
      </c>
      <c r="Q34" s="17">
        <v>914</v>
      </c>
      <c r="R34" s="17">
        <v>944</v>
      </c>
      <c r="S34" s="17">
        <v>1034</v>
      </c>
      <c r="T34" s="17"/>
      <c r="U34" s="17"/>
      <c r="V34" s="17"/>
      <c r="W34" s="17"/>
      <c r="X34" s="17"/>
      <c r="Y34" s="17"/>
      <c r="Z34" s="17">
        <v>1199</v>
      </c>
      <c r="AA34" s="17">
        <v>1192</v>
      </c>
      <c r="AB34" s="17">
        <v>1235</v>
      </c>
      <c r="AC34" s="17">
        <v>1213</v>
      </c>
      <c r="AD34" s="17">
        <v>1233</v>
      </c>
      <c r="AE34" s="17">
        <v>1197</v>
      </c>
      <c r="AF34" s="17">
        <v>1188</v>
      </c>
      <c r="AG34" s="17">
        <v>1194</v>
      </c>
      <c r="AH34" s="17">
        <v>1205</v>
      </c>
      <c r="AI34" s="17">
        <v>1171</v>
      </c>
      <c r="AJ34" s="17">
        <v>1217</v>
      </c>
      <c r="AK34" s="17">
        <v>1233</v>
      </c>
      <c r="AL34" s="17">
        <v>1223</v>
      </c>
      <c r="AM34" s="17">
        <v>1235</v>
      </c>
      <c r="AN34" s="17">
        <v>1185</v>
      </c>
      <c r="AO34" s="17">
        <f>1069+77+8+0</f>
        <v>1154</v>
      </c>
      <c r="AP34" s="17">
        <f>1066+63+8+1</f>
        <v>1138</v>
      </c>
      <c r="AQ34" s="17">
        <f>1074+35+8+0</f>
        <v>1117</v>
      </c>
      <c r="AR34" s="17">
        <f>1038+42+9+0</f>
        <v>1089</v>
      </c>
      <c r="AS34" s="17">
        <f>1058+52+10+1</f>
        <v>1121</v>
      </c>
      <c r="AT34" s="17">
        <f>1087+65+6+1</f>
        <v>1159</v>
      </c>
      <c r="AU34" s="17">
        <f>1126+53+9</f>
        <v>1188</v>
      </c>
      <c r="AV34" s="17">
        <f>1074+38+24+2</f>
        <v>1138</v>
      </c>
      <c r="AW34" s="17">
        <f>1103+48+9+1</f>
        <v>1161</v>
      </c>
      <c r="AX34" s="17">
        <f>1067+37+22+1</f>
        <v>1127</v>
      </c>
      <c r="AY34" s="17">
        <f>1032+34+29+1</f>
        <v>1096</v>
      </c>
      <c r="AZ34" s="17">
        <f>1046+54+9+0</f>
        <v>1109</v>
      </c>
      <c r="BA34" s="17">
        <f>954.1+40.7+53.2</f>
        <v>1048</v>
      </c>
      <c r="BB34" s="17">
        <f>1009.3+46.9+10.1</f>
        <v>1066.3</v>
      </c>
      <c r="BC34" s="17">
        <f>1009.2+62.1+11.5+0.6</f>
        <v>1083.3999999999999</v>
      </c>
      <c r="BD34" s="17">
        <f>1014+66.3+12.3+1.1</f>
        <v>1093.6999999999998</v>
      </c>
      <c r="BE34" s="17">
        <f>1022.6+78.5+7.1</f>
        <v>1108.1999999999998</v>
      </c>
      <c r="BF34" s="17">
        <f>1035+97.6+1.7</f>
        <v>1134.3</v>
      </c>
      <c r="BG34" s="17">
        <f>1056.6+110.5+6.7+0.7</f>
        <v>1174.5</v>
      </c>
      <c r="BH34" s="17">
        <f>1107.3+101.4+6.2</f>
        <v>1214.9000000000001</v>
      </c>
      <c r="BI34" s="17">
        <f>1124.1+111.8+11.3+0.5</f>
        <v>1247.6999999999998</v>
      </c>
      <c r="BJ34" s="17">
        <f>1075.2+135.2+15.7+1.9</f>
        <v>1228.0000000000002</v>
      </c>
      <c r="BK34" s="17">
        <f>1028.5+161.6+10.4+1.3</f>
        <v>1201.8</v>
      </c>
      <c r="BL34" s="17">
        <f>993.8+168.5+8.8+0.6</f>
        <v>1171.6999999999998</v>
      </c>
      <c r="BM34" s="62">
        <f>989.3+168.5+6.9+0.7</f>
        <v>1165.4000000000001</v>
      </c>
      <c r="BN34" s="62">
        <f>972.4+181.6+10.4+0.2</f>
        <v>1164.6000000000001</v>
      </c>
      <c r="BO34" s="62">
        <f>1200.2+185.9+7</f>
        <v>1393.1000000000001</v>
      </c>
      <c r="BP34" s="62">
        <f>1259.2+193.8+7+0.6</f>
        <v>1460.6</v>
      </c>
      <c r="BQ34" s="62">
        <f>1317.9+194.9+7.9+1.4</f>
        <v>1522.1000000000004</v>
      </c>
      <c r="BR34" s="62">
        <f>1301.6+268+6.7</f>
        <v>1576.3</v>
      </c>
      <c r="BS34" s="62">
        <f>1399.5+248.5+35.4+29.4</f>
        <v>1712.8000000000002</v>
      </c>
      <c r="BT34" s="62">
        <f>1505.9+177.2+36.6+23.6</f>
        <v>1743.3</v>
      </c>
      <c r="BU34" s="19"/>
    </row>
    <row r="35" spans="1:75" ht="13.5" customHeight="1" x14ac:dyDescent="0.2">
      <c r="A35" s="11"/>
      <c r="D35" s="2" t="s">
        <v>69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>
        <v>2548</v>
      </c>
      <c r="P35" s="18">
        <v>3120</v>
      </c>
      <c r="Q35" s="18">
        <v>3058</v>
      </c>
      <c r="R35" s="18">
        <v>3169</v>
      </c>
      <c r="S35" s="18">
        <v>3220</v>
      </c>
      <c r="T35" s="18"/>
      <c r="U35" s="18"/>
      <c r="V35" s="18"/>
      <c r="W35" s="18"/>
      <c r="X35" s="18"/>
      <c r="Y35" s="18"/>
      <c r="Z35" s="18">
        <v>3078</v>
      </c>
      <c r="AA35" s="18">
        <v>3120</v>
      </c>
      <c r="AB35" s="18">
        <v>3048</v>
      </c>
      <c r="AC35" s="18">
        <v>3018</v>
      </c>
      <c r="AD35" s="18">
        <v>3033</v>
      </c>
      <c r="AE35" s="18">
        <v>2747</v>
      </c>
      <c r="AF35" s="18">
        <v>2824</v>
      </c>
      <c r="AG35" s="18">
        <v>2689</v>
      </c>
      <c r="AH35" s="18">
        <v>2681</v>
      </c>
      <c r="AI35" s="18">
        <v>2594</v>
      </c>
      <c r="AJ35" s="18">
        <v>2742</v>
      </c>
      <c r="AK35" s="18">
        <v>2746</v>
      </c>
      <c r="AL35" s="18">
        <v>2836</v>
      </c>
      <c r="AM35" s="18">
        <v>2927</v>
      </c>
      <c r="AN35" s="18">
        <v>2966</v>
      </c>
      <c r="AO35" s="18">
        <f>79.9+10.6+139.4+5.4+761.4+574.5+308.2+120.1+3.8+1+10.5+0.5+190.3+386.3+147.4+98.2</f>
        <v>2837.5</v>
      </c>
      <c r="AP35" s="18">
        <f>74.6+9.1+133.1+7.4+693.9+560.6+290.3+104.7+2.5+1.5+10.8+0.7+188.1+393.3+137.1+107</f>
        <v>2714.7</v>
      </c>
      <c r="AQ35" s="18">
        <f>63.3+10+122.6+10.6+627+522.2+287.8+88.2+1+2.3+8.3+1+187+416.5+141.8+93.8</f>
        <v>2583.4000000000005</v>
      </c>
      <c r="AR35" s="18">
        <f>79.8+6.9+110.8+10.2+640.9+520.8+245.1+75.5+3.3+2.3+7.1+0.5+193.7+418.8+155.6+89.8</f>
        <v>2561.1</v>
      </c>
      <c r="AS35" s="18">
        <f>80.3+14.8+105+12.3+587.1+478.2+236.1+62.7+2.8+3+12.1+0.3+179.1+391.3+138.6+83.1</f>
        <v>2386.7999999999997</v>
      </c>
      <c r="AT35" s="18">
        <f>60.9+15.3+94.6+9.5+596.2+442.3+207.1+64.2+0.8+2.5+9.7+0.1+161.5+373.8+140.7+75.6</f>
        <v>2254.7999999999997</v>
      </c>
      <c r="AU35" s="18">
        <f>858.3+766.6+434.5+147.6</f>
        <v>2207</v>
      </c>
      <c r="AV35" s="18">
        <f>0.3+0.7+726.2+456.1+275.8+54.2+3.1+2.3+14.1+162.3+386.3+136.1+76.3</f>
        <v>2293.8000000000002</v>
      </c>
      <c r="AW35" s="18">
        <f>47.8+15.1+70.3+6.8+802.1+485.3+205+54.7+5.3+1+12.8+0.3+154+405.5+131.3+75.1</f>
        <v>2472.4</v>
      </c>
      <c r="AX35" s="18">
        <f>27.2+13.5+65.3+8.8+716.9+535.3+191.8+53.8+7.6+2.9+12.6+0+173.7+428.3+130.9+82</f>
        <v>2450.6</v>
      </c>
      <c r="AY35" s="18">
        <f>36.6+10.7+163.1+37.6+935.6+614.6+316.1+91.1+10.6+0.8+9.1+0.8+183.5+450.5+132.4+81.3</f>
        <v>3074.4</v>
      </c>
      <c r="AZ35" s="18">
        <f>41+13.2+114.8+42.6+920.2+505.7+291.2+108.5+11.1+2+18.6+2.8+199.3+504.9+170.3+94.5</f>
        <v>3040.7000000000007</v>
      </c>
      <c r="BA35" s="18">
        <f>38+18.6+78.8+30.1+900.4+452.7+289.1+121.6+12.6+4.7+10.2+4.7+222.3+527.6+156.3+105.2</f>
        <v>2972.9</v>
      </c>
      <c r="BB35" s="18">
        <f>41.8+19.8+103.8+38.4+957.3+503.7+308.2+128.9+9+5.2+12.3+6.8+237.4+541.6+164.1+119.4</f>
        <v>3197.7000000000003</v>
      </c>
      <c r="BC35" s="18">
        <f>34.6+20.1+97.7+43.7+1008.3+554.4+293.3+140.4+6.1+3.8+18.1+4.5+274.5+530.3+160+128.8</f>
        <v>3318.6000000000004</v>
      </c>
      <c r="BD35" s="18">
        <f>23.7+16+107.5+30.3+969.5+569.4+352.6+145.7+15.4+5.2+20.1+6.9+254.8+519.4+165.1+138.4</f>
        <v>3340</v>
      </c>
      <c r="BE35" s="18">
        <f>27.3+20.7+124+42.2+952.3+587.3+378.1+173.9+17.7+5.8+26.1+7.8+292.4+563.8+171.6+144.6</f>
        <v>3535.6000000000004</v>
      </c>
      <c r="BF35" s="18">
        <f>24.8+13.7+114.9+34.6+1043.5+598+387.5+183.3+13.7+10.8+23.1+9.9+354.5+592.6+166.7+148.9</f>
        <v>3720.5</v>
      </c>
      <c r="BG35" s="18">
        <f>22.5+15.6+102.2+32.2+1025.9+578.8+428.5+194.8+14+7.3+17.7+7.2+379.1+596+178.1+164.7</f>
        <v>3764.5999999999995</v>
      </c>
      <c r="BH35" s="18">
        <f>18.4+20.1+93.4+29.6+1027.2+690.2+433.4+172.6+9.2+9.3+20.8+6+481.2+710.6+129+114.8</f>
        <v>3965.8</v>
      </c>
      <c r="BI35" s="18">
        <f>21.2+20.9+92.5+21.1+996.7+723.3+379.1+171.8+13.4+6.3+35.6+8.2+492+682.3+130.6+125.9</f>
        <v>3920.9000000000005</v>
      </c>
      <c r="BJ35" s="18">
        <f>9.3+19.4+58.6+21.6+975.5+772+365.7+185.8+12.8+5.5+36.1+7.3+456.9+694.8+146.8+125.8</f>
        <v>3893.9000000000005</v>
      </c>
      <c r="BK35" s="18">
        <f>15+36.1+51.2+29.5+935.8+756+389.9+220.1+15.9+2.3+29.1+9.6+466+730.7+138.4+133.4</f>
        <v>3959</v>
      </c>
      <c r="BL35" s="18">
        <f>8+20.7+45.7+22.4+904+721.9+353.9+251.2+16.4+5.3+26.5+13.3+469.5+744+145.3+145.7</f>
        <v>3893.8</v>
      </c>
      <c r="BM35" s="65">
        <f>7.3+13.9+41.4+17+900.4+627.2+354.5+251.5+13.6+5.2+20.3+8.4+461.9+688+129.5+154</f>
        <v>3694.1</v>
      </c>
      <c r="BN35" s="65">
        <f>4.3+9.3+30.1+15.5+795+609.7+356+235+15.7+6.5+30.4+7.7+459.4+634.9+135.3+153.1</f>
        <v>3497.9</v>
      </c>
      <c r="BO35" s="65">
        <f>5.8+9.3+39.2+14.9+769.7+617.8+433.5+314.3+18.4+5.9+37.3+6.1+236.9+625.7+128+140.2</f>
        <v>3403</v>
      </c>
      <c r="BP35" s="65">
        <f>6.7+6.8+37.7+13.2+745.6+566.9+450+352.3+13.3+8.8+29.1+8.6+213.3+597.9+150+161.8</f>
        <v>3362.0000000000009</v>
      </c>
      <c r="BQ35" s="65">
        <f>5.5+16.1+35+26+722+555.9+495+440.2+17.8+11.4+36.7+11.5+217.8+576.5+136.2+145.8</f>
        <v>3449.4</v>
      </c>
      <c r="BR35" s="65">
        <f>4.8+9.8+26+17+662.8+482+0.4+543.5+492.3+14.3+3.3+33.7+10.3+160.8+465.7+172.3+245.7</f>
        <v>3344.7000000000007</v>
      </c>
      <c r="BS35" s="65">
        <f>4.1+13.5+29+14.9+669.8+473+556.4+424.2+9.9+4.3+33.7+10.3+196.3+515.2+80.4+137.3</f>
        <v>3172.3000000000006</v>
      </c>
      <c r="BT35" s="65">
        <f>7.6+10.1+31.4+19.4+618.9+474.8+527.1+358.5+13.5+1.5+26.2+7.8+187.6+580.9+91+125.7</f>
        <v>3082</v>
      </c>
      <c r="BU35" s="19"/>
    </row>
    <row r="36" spans="1:75" ht="13.5" customHeight="1" x14ac:dyDescent="0.2">
      <c r="A36" s="1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>SUM(O33:O35)</f>
        <v>17579</v>
      </c>
      <c r="P36" s="17">
        <f>SUM(P33:P35)</f>
        <v>19124</v>
      </c>
      <c r="Q36" s="17">
        <f>SUM(Q33:Q35)</f>
        <v>19366</v>
      </c>
      <c r="R36" s="17">
        <f>SUM(R33:R35)</f>
        <v>20162</v>
      </c>
      <c r="S36" s="17">
        <f>SUM(S33:S35)</f>
        <v>20733</v>
      </c>
      <c r="T36" s="17"/>
      <c r="U36" s="17"/>
      <c r="V36" s="17"/>
      <c r="W36" s="17">
        <v>21771</v>
      </c>
      <c r="X36" s="17">
        <v>21505</v>
      </c>
      <c r="Y36" s="17">
        <v>21697</v>
      </c>
      <c r="Z36" s="17">
        <f t="shared" ref="Z36:AX36" si="12">SUM(Z33:Z35)</f>
        <v>21439</v>
      </c>
      <c r="AA36" s="17">
        <f t="shared" si="12"/>
        <v>20978</v>
      </c>
      <c r="AB36" s="17">
        <f t="shared" si="12"/>
        <v>21082</v>
      </c>
      <c r="AC36" s="17">
        <f t="shared" si="12"/>
        <v>22059</v>
      </c>
      <c r="AD36" s="17">
        <f t="shared" si="12"/>
        <v>22445</v>
      </c>
      <c r="AE36" s="17">
        <f t="shared" si="12"/>
        <v>22081</v>
      </c>
      <c r="AF36" s="17">
        <f t="shared" si="12"/>
        <v>21566</v>
      </c>
      <c r="AG36" s="17">
        <f t="shared" si="12"/>
        <v>20847</v>
      </c>
      <c r="AH36" s="17">
        <f t="shared" si="12"/>
        <v>20229</v>
      </c>
      <c r="AI36" s="17">
        <f t="shared" si="12"/>
        <v>19498</v>
      </c>
      <c r="AJ36" s="17">
        <f t="shared" si="12"/>
        <v>19576</v>
      </c>
      <c r="AK36" s="17">
        <f t="shared" si="12"/>
        <v>19888</v>
      </c>
      <c r="AL36" s="17">
        <f t="shared" si="12"/>
        <v>20515</v>
      </c>
      <c r="AM36" s="17">
        <f t="shared" si="12"/>
        <v>21039</v>
      </c>
      <c r="AN36" s="17">
        <f>SUM(AN33:AN35)</f>
        <v>20762</v>
      </c>
      <c r="AO36" s="17">
        <f t="shared" si="12"/>
        <v>19560.400000000001</v>
      </c>
      <c r="AP36" s="17">
        <f t="shared" si="12"/>
        <v>18405.499999999996</v>
      </c>
      <c r="AQ36" s="17">
        <f>SUM(AQ33:AQ35)</f>
        <v>18223.5</v>
      </c>
      <c r="AR36" s="17">
        <f t="shared" si="12"/>
        <v>18556.7</v>
      </c>
      <c r="AS36" s="17">
        <f>SUM(AS33:AS35)</f>
        <v>18813.8</v>
      </c>
      <c r="AT36" s="17">
        <f>SUM(AT33:AT35)</f>
        <v>18909.600000000002</v>
      </c>
      <c r="AU36" s="17">
        <f t="shared" si="12"/>
        <v>19258.7</v>
      </c>
      <c r="AV36" s="17">
        <f t="shared" si="12"/>
        <v>19411.8</v>
      </c>
      <c r="AW36" s="17">
        <f t="shared" si="12"/>
        <v>19950.300000000003</v>
      </c>
      <c r="AX36" s="17">
        <f t="shared" si="12"/>
        <v>20230.699999999997</v>
      </c>
      <c r="AY36" s="17">
        <v>21804</v>
      </c>
      <c r="AZ36" s="17">
        <f t="shared" ref="AZ36:BE36" si="13">SUM(AZ33:AZ35)</f>
        <v>22555.5</v>
      </c>
      <c r="BA36" s="17">
        <f t="shared" si="13"/>
        <v>23000.300000000003</v>
      </c>
      <c r="BB36" s="17">
        <f t="shared" si="13"/>
        <v>23704.799999999999</v>
      </c>
      <c r="BC36" s="17">
        <f t="shared" si="13"/>
        <v>24182.500000000007</v>
      </c>
      <c r="BD36" s="17">
        <f t="shared" si="13"/>
        <v>24280.300000000003</v>
      </c>
      <c r="BE36" s="17">
        <f t="shared" si="13"/>
        <v>25840.400000000001</v>
      </c>
      <c r="BF36" s="17">
        <f t="shared" ref="BF36:BS36" si="14">SUM(BF33:BF35)</f>
        <v>26797.5</v>
      </c>
      <c r="BG36" s="17">
        <f t="shared" si="14"/>
        <v>27838.299999999992</v>
      </c>
      <c r="BH36" s="17">
        <f t="shared" si="14"/>
        <v>29020.699999999997</v>
      </c>
      <c r="BI36" s="17">
        <f t="shared" si="14"/>
        <v>29845.100000000006</v>
      </c>
      <c r="BJ36" s="17">
        <f t="shared" si="14"/>
        <v>29874.900000000005</v>
      </c>
      <c r="BK36" s="17">
        <f t="shared" si="14"/>
        <v>30531.299999999996</v>
      </c>
      <c r="BL36" s="17">
        <f t="shared" si="14"/>
        <v>30665.1</v>
      </c>
      <c r="BM36" s="17">
        <f t="shared" si="14"/>
        <v>28723.5</v>
      </c>
      <c r="BN36" s="17">
        <f t="shared" si="14"/>
        <v>26636.799999999999</v>
      </c>
      <c r="BO36" s="17">
        <f t="shared" si="14"/>
        <v>25361.599999999995</v>
      </c>
      <c r="BP36" s="17">
        <f t="shared" si="14"/>
        <v>25347.5</v>
      </c>
      <c r="BQ36" s="17">
        <f t="shared" si="14"/>
        <v>26269.200000000004</v>
      </c>
      <c r="BR36" s="17">
        <f t="shared" si="14"/>
        <v>26622.800000000003</v>
      </c>
      <c r="BS36" s="17">
        <f t="shared" si="14"/>
        <v>26785.299999999996</v>
      </c>
      <c r="BT36" s="17">
        <f t="shared" ref="BT36" si="15">SUM(BT33:BT35)</f>
        <v>26926.799999999999</v>
      </c>
      <c r="BU36" s="19"/>
    </row>
    <row r="37" spans="1:75" ht="13.5" customHeight="1" x14ac:dyDescent="0.2">
      <c r="A37" s="1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2"/>
    </row>
    <row r="38" spans="1:75" ht="13.5" customHeight="1" x14ac:dyDescent="0.2">
      <c r="A38" s="11"/>
      <c r="B38" s="57" t="s">
        <v>73</v>
      </c>
      <c r="C38" s="27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12"/>
    </row>
    <row r="39" spans="1:75" ht="13.5" customHeight="1" x14ac:dyDescent="0.2">
      <c r="A39" s="11"/>
      <c r="C39" s="4" t="s">
        <v>74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2"/>
    </row>
    <row r="40" spans="1:75" ht="13.5" customHeight="1" x14ac:dyDescent="0.2">
      <c r="A40" s="11"/>
      <c r="D40" s="2" t="s">
        <v>75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>
        <v>20939</v>
      </c>
      <c r="S40" s="17">
        <v>21560</v>
      </c>
      <c r="T40" s="17"/>
      <c r="U40" s="17"/>
      <c r="V40" s="17"/>
      <c r="W40" s="17"/>
      <c r="X40" s="17">
        <v>23524</v>
      </c>
      <c r="Y40" s="17">
        <v>23325</v>
      </c>
      <c r="Z40" s="17">
        <v>23474</v>
      </c>
      <c r="AA40" s="17">
        <v>23064</v>
      </c>
      <c r="AB40" s="17">
        <v>23246</v>
      </c>
      <c r="AC40" s="17">
        <v>24306</v>
      </c>
      <c r="AD40" s="17">
        <v>24774</v>
      </c>
      <c r="AE40" s="17">
        <v>24553</v>
      </c>
      <c r="AF40" s="17">
        <v>24059</v>
      </c>
      <c r="AG40" s="17">
        <v>23410</v>
      </c>
      <c r="AH40" s="17">
        <v>22889</v>
      </c>
      <c r="AI40" s="17">
        <v>22532</v>
      </c>
      <c r="AJ40" s="17">
        <v>22796</v>
      </c>
      <c r="AK40" s="17">
        <v>23434</v>
      </c>
      <c r="AL40" s="17">
        <v>24220</v>
      </c>
      <c r="AM40" s="17">
        <v>24972</v>
      </c>
      <c r="AN40" s="17">
        <v>24739</v>
      </c>
      <c r="AO40" s="17">
        <v>23430</v>
      </c>
      <c r="AP40" s="17">
        <v>22225</v>
      </c>
      <c r="AQ40" s="17">
        <v>22175</v>
      </c>
      <c r="AR40" s="17">
        <v>22356</v>
      </c>
      <c r="AS40" s="17">
        <v>22519</v>
      </c>
      <c r="AT40" s="17">
        <v>22552</v>
      </c>
      <c r="AU40" s="17">
        <v>22780</v>
      </c>
      <c r="AV40" s="17">
        <v>22930</v>
      </c>
      <c r="AW40" s="17">
        <v>23309</v>
      </c>
      <c r="AX40" s="17">
        <v>23667</v>
      </c>
      <c r="AY40" s="17">
        <v>24842</v>
      </c>
      <c r="AZ40" s="17">
        <v>25527</v>
      </c>
      <c r="BA40" s="17">
        <v>25876</v>
      </c>
      <c r="BB40" s="17">
        <v>26618</v>
      </c>
      <c r="BC40" s="17">
        <v>26764</v>
      </c>
      <c r="BD40" s="17">
        <v>26973</v>
      </c>
      <c r="BE40" s="17">
        <v>28375</v>
      </c>
      <c r="BF40" s="17">
        <v>29247</v>
      </c>
      <c r="BG40" s="17">
        <v>30373</v>
      </c>
      <c r="BH40" s="17">
        <v>31705</v>
      </c>
      <c r="BI40" s="17">
        <v>32522</v>
      </c>
      <c r="BJ40" s="17">
        <v>32415</v>
      </c>
      <c r="BK40" s="17">
        <v>33073</v>
      </c>
      <c r="BL40" s="17">
        <v>32981</v>
      </c>
      <c r="BM40" s="17">
        <v>30801</v>
      </c>
      <c r="BN40" s="17">
        <v>28248</v>
      </c>
      <c r="BO40" s="17">
        <v>26751</v>
      </c>
      <c r="BP40" s="17">
        <v>26597</v>
      </c>
      <c r="BQ40" s="17">
        <v>26954</v>
      </c>
      <c r="BR40" s="17">
        <v>27111</v>
      </c>
      <c r="BS40" s="17">
        <v>27089</v>
      </c>
      <c r="BT40" s="17">
        <v>26991</v>
      </c>
      <c r="BU40" s="19"/>
    </row>
    <row r="41" spans="1:75" ht="13.5" customHeight="1" x14ac:dyDescent="0.2">
      <c r="A41" s="11"/>
      <c r="D41" s="2" t="s">
        <v>90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>
        <v>20071</v>
      </c>
      <c r="S41" s="17">
        <v>20661</v>
      </c>
      <c r="T41" s="17"/>
      <c r="U41" s="17"/>
      <c r="V41" s="17"/>
      <c r="W41" s="17">
        <v>21532</v>
      </c>
      <c r="X41" s="17">
        <v>21433</v>
      </c>
      <c r="Y41" s="17">
        <v>21630</v>
      </c>
      <c r="Z41" s="17">
        <v>21533</v>
      </c>
      <c r="AA41" s="17">
        <v>20942</v>
      </c>
      <c r="AB41" s="17">
        <v>21050</v>
      </c>
      <c r="AC41" s="17">
        <v>22028</v>
      </c>
      <c r="AD41" s="17">
        <v>22408</v>
      </c>
      <c r="AE41" s="17">
        <v>22052</v>
      </c>
      <c r="AF41" s="17">
        <v>21547</v>
      </c>
      <c r="AG41" s="17">
        <v>20827</v>
      </c>
      <c r="AH41" s="17">
        <v>20200</v>
      </c>
      <c r="AI41" s="17">
        <v>19498</v>
      </c>
      <c r="AJ41" s="17">
        <v>19576</v>
      </c>
      <c r="AK41" s="17">
        <v>19888</v>
      </c>
      <c r="AL41" s="17">
        <v>20515</v>
      </c>
      <c r="AM41" s="17">
        <v>21039</v>
      </c>
      <c r="AN41" s="17">
        <v>20761</v>
      </c>
      <c r="AO41" s="17">
        <v>19560.5</v>
      </c>
      <c r="AP41" s="17">
        <v>18405.3</v>
      </c>
      <c r="AQ41" s="17">
        <v>18223</v>
      </c>
      <c r="AR41" s="17">
        <v>18556.7</v>
      </c>
      <c r="AS41" s="17">
        <v>18813.5</v>
      </c>
      <c r="AT41" s="17">
        <v>18909.400000000001</v>
      </c>
      <c r="AU41" s="17">
        <v>19258.7</v>
      </c>
      <c r="AV41" s="17">
        <v>19411.599999999999</v>
      </c>
      <c r="AW41" s="17">
        <v>19950</v>
      </c>
      <c r="AX41" s="17">
        <v>20230.599999999999</v>
      </c>
      <c r="AY41" s="17">
        <v>21352.5</v>
      </c>
      <c r="AZ41" s="17">
        <v>22093.7</v>
      </c>
      <c r="BA41" s="17">
        <v>22577.9</v>
      </c>
      <c r="BB41" s="17">
        <v>23209.3</v>
      </c>
      <c r="BC41" s="17">
        <v>23616.6</v>
      </c>
      <c r="BD41" s="17">
        <v>23694.5</v>
      </c>
      <c r="BE41" s="17">
        <v>25156.2</v>
      </c>
      <c r="BF41" s="17">
        <v>25968.2</v>
      </c>
      <c r="BG41" s="17">
        <v>27031.5</v>
      </c>
      <c r="BH41" s="17">
        <v>28179.5</v>
      </c>
      <c r="BI41" s="17">
        <v>28976</v>
      </c>
      <c r="BJ41" s="17">
        <v>28932.3</v>
      </c>
      <c r="BK41" s="17">
        <v>29510.799999999999</v>
      </c>
      <c r="BL41" s="17">
        <v>29580.2</v>
      </c>
      <c r="BM41" s="17">
        <v>27643.4</v>
      </c>
      <c r="BN41" s="17">
        <v>25423.4</v>
      </c>
      <c r="BO41" s="17">
        <v>23889.1</v>
      </c>
      <c r="BP41" s="17">
        <v>23715.1</v>
      </c>
      <c r="BQ41" s="17">
        <v>24249.7</v>
      </c>
      <c r="BR41" s="17">
        <v>24477.3</v>
      </c>
      <c r="BS41" s="17">
        <v>24643</v>
      </c>
      <c r="BT41" s="17">
        <v>24800.1</v>
      </c>
      <c r="BU41" s="19"/>
      <c r="BW41" s="62"/>
    </row>
    <row r="42" spans="1:75" ht="13.5" customHeight="1" x14ac:dyDescent="0.2">
      <c r="A42" s="11"/>
      <c r="C42" s="4" t="s">
        <v>76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9"/>
      <c r="BW42" s="62"/>
    </row>
    <row r="43" spans="1:75" ht="13.5" customHeight="1" x14ac:dyDescent="0.2">
      <c r="A43" s="11"/>
      <c r="D43" s="2" t="s">
        <v>75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>
        <v>143</v>
      </c>
      <c r="S43" s="17">
        <v>121</v>
      </c>
      <c r="T43" s="17"/>
      <c r="U43" s="17"/>
      <c r="V43" s="17"/>
      <c r="W43" s="17"/>
      <c r="X43" s="17">
        <v>544</v>
      </c>
      <c r="Y43" s="17">
        <v>404</v>
      </c>
      <c r="Z43" s="17">
        <v>383</v>
      </c>
      <c r="AA43" s="17">
        <v>351</v>
      </c>
      <c r="AB43" s="17">
        <v>299</v>
      </c>
      <c r="AC43" s="17">
        <v>273</v>
      </c>
      <c r="AD43" s="17">
        <v>307</v>
      </c>
      <c r="AE43" s="17">
        <v>210</v>
      </c>
      <c r="AF43" s="17">
        <v>216</v>
      </c>
      <c r="AG43" s="17">
        <v>175</v>
      </c>
      <c r="AH43" s="17">
        <v>158</v>
      </c>
      <c r="AI43" s="17">
        <v>195</v>
      </c>
      <c r="AJ43" s="17">
        <v>162</v>
      </c>
      <c r="AK43" s="17">
        <v>134</v>
      </c>
      <c r="AL43" s="17">
        <v>124</v>
      </c>
      <c r="AM43" s="17">
        <v>91</v>
      </c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>
        <v>1282</v>
      </c>
      <c r="AZ43" s="17">
        <v>1278</v>
      </c>
      <c r="BA43" s="17">
        <v>1127</v>
      </c>
      <c r="BB43" s="17">
        <v>1312</v>
      </c>
      <c r="BC43" s="17">
        <v>1420</v>
      </c>
      <c r="BD43" s="17">
        <v>1432</v>
      </c>
      <c r="BE43" s="17">
        <v>1755</v>
      </c>
      <c r="BF43" s="17">
        <v>1990</v>
      </c>
      <c r="BG43" s="17">
        <v>1968</v>
      </c>
      <c r="BH43" s="17">
        <v>2057</v>
      </c>
      <c r="BI43" s="17">
        <v>2182</v>
      </c>
      <c r="BJ43" s="17">
        <v>2201</v>
      </c>
      <c r="BK43" s="17">
        <v>2352</v>
      </c>
      <c r="BL43" s="17">
        <v>2443</v>
      </c>
      <c r="BM43" s="17">
        <v>2438</v>
      </c>
      <c r="BN43" s="17">
        <v>2596</v>
      </c>
      <c r="BO43" s="17">
        <v>3092</v>
      </c>
      <c r="BP43" s="17">
        <v>3417</v>
      </c>
      <c r="BQ43" s="17">
        <v>4135</v>
      </c>
      <c r="BR43" s="17">
        <v>4290</v>
      </c>
      <c r="BS43" s="17">
        <v>4215</v>
      </c>
      <c r="BT43" s="17">
        <v>4022</v>
      </c>
      <c r="BU43" s="19"/>
    </row>
    <row r="44" spans="1:75" ht="13.5" customHeight="1" x14ac:dyDescent="0.2">
      <c r="A44" s="11"/>
      <c r="D44" s="2" t="s">
        <v>90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>
        <v>90</v>
      </c>
      <c r="S44" s="17">
        <v>72</v>
      </c>
      <c r="T44" s="17"/>
      <c r="U44" s="17"/>
      <c r="V44" s="17"/>
      <c r="W44" s="17">
        <v>239</v>
      </c>
      <c r="X44" s="17">
        <v>72</v>
      </c>
      <c r="Y44" s="17">
        <v>67</v>
      </c>
      <c r="Z44" s="17">
        <v>65</v>
      </c>
      <c r="AA44" s="17">
        <v>36</v>
      </c>
      <c r="AB44" s="17">
        <v>32</v>
      </c>
      <c r="AC44" s="17">
        <v>31</v>
      </c>
      <c r="AD44" s="17">
        <v>29</v>
      </c>
      <c r="AE44" s="17">
        <v>19</v>
      </c>
      <c r="AF44" s="17">
        <v>20</v>
      </c>
      <c r="AG44" s="17">
        <v>29</v>
      </c>
      <c r="AH44" s="17">
        <v>29</v>
      </c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>
        <v>451.9</v>
      </c>
      <c r="AZ44" s="17">
        <v>461.8</v>
      </c>
      <c r="BA44" s="17">
        <v>422.2</v>
      </c>
      <c r="BB44" s="17">
        <v>495.2</v>
      </c>
      <c r="BC44" s="17">
        <v>566.1</v>
      </c>
      <c r="BD44" s="17">
        <v>585.9</v>
      </c>
      <c r="BE44" s="17">
        <v>683.9</v>
      </c>
      <c r="BF44" s="17">
        <v>829.2</v>
      </c>
      <c r="BG44" s="17">
        <v>806.9</v>
      </c>
      <c r="BH44" s="17">
        <v>840.9</v>
      </c>
      <c r="BI44" s="17">
        <v>868.9</v>
      </c>
      <c r="BJ44" s="17">
        <v>942.5</v>
      </c>
      <c r="BK44" s="17">
        <v>1020.6</v>
      </c>
      <c r="BL44" s="17">
        <v>1084.9000000000001</v>
      </c>
      <c r="BM44" s="17">
        <v>1080</v>
      </c>
      <c r="BN44" s="17">
        <v>1213.2</v>
      </c>
      <c r="BO44" s="17">
        <v>1472.5</v>
      </c>
      <c r="BP44" s="17">
        <v>1632.5</v>
      </c>
      <c r="BQ44" s="17">
        <v>2019.4</v>
      </c>
      <c r="BR44" s="17">
        <v>2145.5</v>
      </c>
      <c r="BS44" s="17">
        <v>2142.0000000000005</v>
      </c>
      <c r="BT44" s="17">
        <v>2126.9</v>
      </c>
      <c r="BU44" s="19"/>
    </row>
    <row r="45" spans="1:75" ht="13.5" customHeight="1" x14ac:dyDescent="0.2">
      <c r="A45" s="11"/>
      <c r="B45" s="20"/>
      <c r="C45" s="20"/>
      <c r="D45" s="20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12"/>
    </row>
    <row r="46" spans="1:75" ht="13.5" customHeight="1" x14ac:dyDescent="0.2">
      <c r="A46" s="11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2"/>
    </row>
    <row r="47" spans="1:75" ht="13.5" customHeight="1" x14ac:dyDescent="0.2">
      <c r="A47" s="11"/>
      <c r="B47" s="2" t="s">
        <v>107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2"/>
    </row>
    <row r="48" spans="1:75" ht="13.5" customHeight="1" x14ac:dyDescent="0.2">
      <c r="A48" s="11"/>
      <c r="B48" s="2" t="s">
        <v>100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2"/>
    </row>
    <row r="49" spans="1:73" ht="13.5" customHeight="1" x14ac:dyDescent="0.2">
      <c r="A49" s="1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2"/>
    </row>
    <row r="50" spans="1:73" ht="13.5" customHeight="1" x14ac:dyDescent="0.2">
      <c r="A50" s="11"/>
      <c r="B50" s="2" t="s">
        <v>109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2"/>
    </row>
    <row r="51" spans="1:73" ht="13.5" customHeight="1" x14ac:dyDescent="0.2">
      <c r="A51" s="11"/>
      <c r="B51" s="2" t="s">
        <v>108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2"/>
    </row>
    <row r="52" spans="1:73" ht="13.5" customHeight="1" x14ac:dyDescent="0.2">
      <c r="A52" s="1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12"/>
    </row>
    <row r="53" spans="1:73" ht="13.5" customHeight="1" x14ac:dyDescent="0.2">
      <c r="A53" s="23"/>
      <c r="B53" s="72" t="s">
        <v>89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24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 t="s">
        <v>112</v>
      </c>
      <c r="BU53" s="26"/>
    </row>
    <row r="55" spans="1:73" ht="13.5" customHeight="1" x14ac:dyDescent="0.2">
      <c r="BF55" s="22"/>
    </row>
    <row r="56" spans="1:73" ht="13.5" customHeight="1" x14ac:dyDescent="0.2">
      <c r="AI56" s="22"/>
      <c r="AJ56" s="22"/>
      <c r="AK56" s="22"/>
      <c r="AL56" s="22"/>
      <c r="AM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</row>
    <row r="57" spans="1:73" ht="13.5" customHeight="1" x14ac:dyDescent="0.2">
      <c r="AI57" s="22"/>
      <c r="AJ57" s="22"/>
      <c r="AK57" s="22"/>
      <c r="AL57" s="22"/>
      <c r="AM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</row>
    <row r="58" spans="1:73" ht="13.5" customHeight="1" x14ac:dyDescent="0.2">
      <c r="AI58" s="22"/>
      <c r="AJ58" s="22"/>
      <c r="AK58" s="22"/>
      <c r="AL58" s="22"/>
      <c r="AM58" s="22"/>
    </row>
    <row r="59" spans="1:73" ht="13.5" customHeight="1" x14ac:dyDescent="0.2">
      <c r="AI59" s="22"/>
      <c r="AJ59" s="22"/>
      <c r="AK59" s="22"/>
      <c r="AL59" s="22"/>
      <c r="AM59" s="22"/>
    </row>
    <row r="60" spans="1:73" ht="13.5" customHeight="1" x14ac:dyDescent="0.2">
      <c r="AI60" s="22"/>
      <c r="AJ60" s="22"/>
      <c r="AK60" s="22"/>
      <c r="AL60" s="22"/>
      <c r="AM60" s="22"/>
    </row>
    <row r="61" spans="1:73" ht="13.5" customHeight="1" x14ac:dyDescent="0.2">
      <c r="AI61" s="22"/>
      <c r="AJ61" s="22"/>
      <c r="AK61" s="22"/>
      <c r="AL61" s="22"/>
      <c r="AM61" s="22"/>
    </row>
  </sheetData>
  <mergeCells count="2">
    <mergeCell ref="A2:BU2"/>
    <mergeCell ref="B53:BH53"/>
  </mergeCells>
  <hyperlinks>
    <hyperlink ref="B53" r:id="rId1" display="Source: IPEDS EF and DHE 02" xr:uid="{63F21250-1685-4527-B12E-E714D9C1A068}"/>
    <hyperlink ref="B53:D53" r:id="rId2" display="Source: DHE 02, Fall Enrollment Supplement" xr:uid="{07D97B4A-9504-42C1-8352-A00E74CC5C83}"/>
    <hyperlink ref="B53:BH53" r:id="rId3" display="Source: DHE 02, Fall Enrollment Supplement" xr:uid="{CF2A4FDE-0BEC-4B00-8E17-5DDC96D97077}"/>
  </hyperlinks>
  <printOptions horizontalCentered="1"/>
  <pageMargins left="0.7" right="0.45" top="0.5" bottom="0.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48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6" width="8.7109375" style="2" hidden="1" customWidth="1"/>
    <col min="67" max="72" width="8.7109375" style="2" customWidth="1"/>
    <col min="73" max="73" width="2.7109375" style="2" customWidth="1"/>
    <col min="74" max="16384" width="9.140625" style="1"/>
  </cols>
  <sheetData>
    <row r="1" spans="1:73" ht="13.5" customHeight="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73" ht="15" customHeigh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1"/>
    </row>
    <row r="3" spans="1:73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12"/>
    </row>
    <row r="4" spans="1:73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12"/>
    </row>
    <row r="5" spans="1:73" ht="15" customHeight="1" x14ac:dyDescent="0.25">
      <c r="A5" s="11"/>
      <c r="B5" s="8" t="s">
        <v>77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2"/>
    </row>
    <row r="6" spans="1:73" ht="13.5" customHeight="1" thickBot="1" x14ac:dyDescent="0.25">
      <c r="A6" s="11"/>
      <c r="BU6" s="12"/>
    </row>
    <row r="7" spans="1:73" ht="13.5" customHeight="1" thickTop="1" x14ac:dyDescent="0.2">
      <c r="A7" s="11"/>
      <c r="B7" s="13"/>
      <c r="C7" s="13"/>
      <c r="D7" s="13"/>
      <c r="E7" s="30"/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31" t="s">
        <v>39</v>
      </c>
      <c r="AP7" s="31" t="s">
        <v>40</v>
      </c>
      <c r="AQ7" s="31" t="s">
        <v>41</v>
      </c>
      <c r="AR7" s="31" t="s">
        <v>42</v>
      </c>
      <c r="AS7" s="31" t="s">
        <v>43</v>
      </c>
      <c r="AT7" s="32" t="s">
        <v>44</v>
      </c>
      <c r="AU7" s="32" t="s">
        <v>45</v>
      </c>
      <c r="AV7" s="32" t="s">
        <v>46</v>
      </c>
      <c r="AW7" s="32" t="s">
        <v>47</v>
      </c>
      <c r="AX7" s="32" t="s">
        <v>48</v>
      </c>
      <c r="AY7" s="32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2"/>
    </row>
    <row r="8" spans="1:73" ht="13.5" customHeight="1" x14ac:dyDescent="0.2">
      <c r="A8" s="11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34"/>
      <c r="AP8" s="34"/>
      <c r="AQ8" s="34"/>
      <c r="AR8" s="34"/>
      <c r="AS8" s="34"/>
      <c r="AT8" s="35"/>
      <c r="AU8" s="35"/>
      <c r="AV8" s="35"/>
      <c r="AW8" s="35"/>
      <c r="AX8" s="35"/>
      <c r="AY8" s="3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2"/>
    </row>
    <row r="9" spans="1:73" ht="13.5" customHeight="1" x14ac:dyDescent="0.2">
      <c r="A9" s="11"/>
      <c r="B9" s="59" t="s">
        <v>61</v>
      </c>
      <c r="C9" s="40"/>
      <c r="D9" s="40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12"/>
    </row>
    <row r="10" spans="1:73" ht="13.5" customHeight="1" x14ac:dyDescent="0.2">
      <c r="A10" s="11"/>
      <c r="C10" s="4" t="s">
        <v>62</v>
      </c>
      <c r="E10" s="3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2"/>
    </row>
    <row r="11" spans="1:73" ht="13.5" customHeight="1" x14ac:dyDescent="0.2">
      <c r="A11" s="11"/>
      <c r="D11" s="2" t="s">
        <v>91</v>
      </c>
      <c r="E11" s="3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f>1074+118</f>
        <v>1192</v>
      </c>
      <c r="Q11" s="17">
        <f>1163+169</f>
        <v>1332</v>
      </c>
      <c r="R11" s="17">
        <f>1115+137</f>
        <v>1252</v>
      </c>
      <c r="S11" s="17">
        <v>1064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711</v>
      </c>
      <c r="AH11" s="17">
        <v>756</v>
      </c>
      <c r="AI11" s="17">
        <v>696</v>
      </c>
      <c r="AJ11" s="17">
        <v>704</v>
      </c>
      <c r="AK11" s="17">
        <v>727</v>
      </c>
      <c r="AL11" s="17">
        <v>709</v>
      </c>
      <c r="AM11" s="17">
        <v>649</v>
      </c>
      <c r="AN11" s="17">
        <v>525</v>
      </c>
      <c r="AO11" s="17">
        <f>381+98+19+6</f>
        <v>504</v>
      </c>
      <c r="AP11" s="17">
        <f>400+116+19+3</f>
        <v>538</v>
      </c>
      <c r="AQ11" s="17">
        <f>393+112+12+9</f>
        <v>526</v>
      </c>
      <c r="AR11" s="17">
        <f>445+123+22+12</f>
        <v>602</v>
      </c>
      <c r="AS11" s="17">
        <f>451+118+21+7</f>
        <v>597</v>
      </c>
      <c r="AT11" s="17">
        <f>468+120+22+12</f>
        <v>622</v>
      </c>
      <c r="AU11" s="17">
        <f>490+128+30+13</f>
        <v>661</v>
      </c>
      <c r="AV11" s="17">
        <f>514+126+42+6</f>
        <v>688</v>
      </c>
      <c r="AW11" s="17">
        <f>560+129+11+8</f>
        <v>708</v>
      </c>
      <c r="AX11" s="17">
        <f>589+148+24+12</f>
        <v>773</v>
      </c>
      <c r="AY11" s="17">
        <f>588+164+17+11</f>
        <v>780</v>
      </c>
      <c r="AZ11" s="17">
        <f>584+177+18+9</f>
        <v>788</v>
      </c>
      <c r="BA11" s="17">
        <f>702+204+13+2</f>
        <v>921</v>
      </c>
      <c r="BB11" s="17">
        <f>807+209+18+5</f>
        <v>1039</v>
      </c>
      <c r="BC11" s="17">
        <f>724+205+19+7</f>
        <v>955</v>
      </c>
      <c r="BD11" s="17">
        <f>705+211+36+7</f>
        <v>959</v>
      </c>
      <c r="BE11" s="17">
        <f>739+236+24+9</f>
        <v>1008</v>
      </c>
      <c r="BF11" s="17">
        <f>729+250+19+6</f>
        <v>1004</v>
      </c>
      <c r="BG11" s="17">
        <f>854+255+29+7</f>
        <v>1145</v>
      </c>
      <c r="BH11" s="17">
        <f>829+283+36+11</f>
        <v>1159</v>
      </c>
      <c r="BI11" s="17">
        <f>825+276+13+11</f>
        <v>1125</v>
      </c>
      <c r="BJ11" s="17">
        <f>752+308+16+2</f>
        <v>1078</v>
      </c>
      <c r="BK11" s="17">
        <f>752+305+12+4</f>
        <v>1073</v>
      </c>
      <c r="BL11" s="17">
        <f>729+292+23+5</f>
        <v>1049</v>
      </c>
      <c r="BM11" s="17">
        <f>871+324+10+7</f>
        <v>1212</v>
      </c>
      <c r="BN11" s="17">
        <f>873+345+20+6</f>
        <v>1244</v>
      </c>
      <c r="BO11" s="17">
        <f>813+362+15+7</f>
        <v>1197</v>
      </c>
      <c r="BP11" s="17">
        <f>786+388+17+6</f>
        <v>1197</v>
      </c>
      <c r="BQ11" s="17">
        <f>723+304+25+7</f>
        <v>1059</v>
      </c>
      <c r="BR11" s="17">
        <f>782+336+22+8</f>
        <v>1148</v>
      </c>
      <c r="BS11" s="17">
        <f>785+354+19+7</f>
        <v>1165</v>
      </c>
      <c r="BT11" s="17">
        <f>841+401+28+19</f>
        <v>1289</v>
      </c>
      <c r="BU11" s="12"/>
    </row>
    <row r="12" spans="1:73" ht="13.5" customHeight="1" x14ac:dyDescent="0.2">
      <c r="A12" s="11"/>
      <c r="D12" s="2" t="s">
        <v>63</v>
      </c>
      <c r="E12" s="3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5421</v>
      </c>
      <c r="AH12" s="17">
        <f>2156+3390</f>
        <v>5546</v>
      </c>
      <c r="AI12" s="17">
        <v>6032</v>
      </c>
      <c r="AJ12" s="17">
        <v>5915</v>
      </c>
      <c r="AK12" s="17">
        <v>5787</v>
      </c>
      <c r="AL12" s="17">
        <v>5606</v>
      </c>
      <c r="AM12" s="17"/>
      <c r="AN12" s="17"/>
      <c r="AO12" s="17">
        <f>2506+735+1475+376</f>
        <v>5092</v>
      </c>
      <c r="AP12" s="17">
        <f>2184+714+1309+386</f>
        <v>4593</v>
      </c>
      <c r="AQ12" s="17">
        <f>2153+745+1258+419</f>
        <v>4575</v>
      </c>
      <c r="AR12" s="17">
        <f>2288+720+1283+410</f>
        <v>4701</v>
      </c>
      <c r="AS12" s="17">
        <f>2337+714+1327+410</f>
        <v>4788</v>
      </c>
      <c r="AT12" s="17">
        <f>2464+744+1358+384</f>
        <v>4950</v>
      </c>
      <c r="AU12" s="17">
        <f>2467+735+1235+384</f>
        <v>4821</v>
      </c>
      <c r="AV12" s="17">
        <f>2480+759+1143+330</f>
        <v>4712</v>
      </c>
      <c r="AW12" s="17">
        <f>2525+782+1059+304</f>
        <v>4670</v>
      </c>
      <c r="AX12" s="17">
        <f>2737+858+1122+330</f>
        <v>5047</v>
      </c>
      <c r="AY12" s="17">
        <f>2981+987+1131+360</f>
        <v>5459</v>
      </c>
      <c r="AZ12" s="17">
        <f>3158+1117+1048+401</f>
        <v>5724</v>
      </c>
      <c r="BA12" s="17">
        <f>3268+1215+1038+351</f>
        <v>5872</v>
      </c>
      <c r="BB12" s="17">
        <f>3364+1266+1014+382</f>
        <v>6026</v>
      </c>
      <c r="BC12" s="17">
        <f>3368+1363+1008+373</f>
        <v>6112</v>
      </c>
      <c r="BD12" s="17">
        <f>3292+1278+1036+410</f>
        <v>6016</v>
      </c>
      <c r="BE12" s="17">
        <f>3475+1355+1111+402</f>
        <v>6343</v>
      </c>
      <c r="BF12" s="17">
        <f>3759+1474+1068+416</f>
        <v>6717</v>
      </c>
      <c r="BG12" s="17">
        <f>3939+1615+1048+439</f>
        <v>7041</v>
      </c>
      <c r="BH12" s="17">
        <f>3985+1666+1164+485</f>
        <v>7300</v>
      </c>
      <c r="BI12" s="17">
        <f>3979+1712+1172+459</f>
        <v>7322</v>
      </c>
      <c r="BJ12" s="17">
        <f>3957+1682+1078+514</f>
        <v>7231</v>
      </c>
      <c r="BK12" s="17">
        <f>3867+1682+1020+485</f>
        <v>7054</v>
      </c>
      <c r="BL12" s="17">
        <f>3817+1642+1000+469</f>
        <v>6928</v>
      </c>
      <c r="BM12" s="17">
        <f>3683+1650+946+413</f>
        <v>6692</v>
      </c>
      <c r="BN12" s="17">
        <f>3689+1759+815+347</f>
        <v>6610</v>
      </c>
      <c r="BO12" s="17">
        <f>3627+1708+795+354</f>
        <v>6484</v>
      </c>
      <c r="BP12" s="17">
        <f>3425+1766+724+313</f>
        <v>6228</v>
      </c>
      <c r="BQ12" s="17">
        <f>3304+1644+720+350</f>
        <v>6018</v>
      </c>
      <c r="BR12" s="17">
        <f>3052+1543+705+314</f>
        <v>5614</v>
      </c>
      <c r="BS12" s="17">
        <f>2894+1514+623+283</f>
        <v>5314</v>
      </c>
      <c r="BT12" s="17">
        <f>3024+1458+584+263</f>
        <v>5329</v>
      </c>
      <c r="BU12" s="12"/>
    </row>
    <row r="13" spans="1:73" ht="13.5" customHeight="1" x14ac:dyDescent="0.2">
      <c r="A13" s="11"/>
      <c r="D13" s="2" t="s">
        <v>92</v>
      </c>
      <c r="E13" s="3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124</v>
      </c>
      <c r="AP13" s="17">
        <v>134</v>
      </c>
      <c r="AQ13" s="17">
        <v>113</v>
      </c>
      <c r="AR13" s="17">
        <v>44</v>
      </c>
      <c r="AS13" s="17">
        <v>172</v>
      </c>
      <c r="AT13" s="17">
        <v>265</v>
      </c>
      <c r="AU13" s="17">
        <v>407</v>
      </c>
      <c r="AV13" s="17">
        <v>1000</v>
      </c>
      <c r="AW13" s="17">
        <v>2324</v>
      </c>
      <c r="AX13" s="17">
        <v>2132</v>
      </c>
      <c r="AY13" s="17">
        <v>2249</v>
      </c>
      <c r="AZ13" s="17">
        <v>2314</v>
      </c>
      <c r="BA13" s="17">
        <v>2291</v>
      </c>
      <c r="BB13" s="17">
        <v>2145</v>
      </c>
      <c r="BC13" s="17">
        <v>2028</v>
      </c>
      <c r="BD13" s="17">
        <v>1861</v>
      </c>
      <c r="BE13" s="17">
        <v>1600</v>
      </c>
      <c r="BF13" s="17">
        <v>1352</v>
      </c>
      <c r="BG13" s="17">
        <v>1381</v>
      </c>
      <c r="BH13" s="17">
        <v>1380</v>
      </c>
      <c r="BI13" s="17">
        <v>1851</v>
      </c>
      <c r="BJ13" s="17">
        <v>1541</v>
      </c>
      <c r="BK13" s="17">
        <v>1855</v>
      </c>
      <c r="BL13" s="17">
        <v>2873</v>
      </c>
      <c r="BM13" s="17">
        <v>3422</v>
      </c>
      <c r="BN13" s="17">
        <f>2976+217</f>
        <v>3193</v>
      </c>
      <c r="BO13" s="17">
        <f>3069+270</f>
        <v>3339</v>
      </c>
      <c r="BP13" s="17">
        <f>3080+478</f>
        <v>3558</v>
      </c>
      <c r="BQ13" s="17">
        <f>3306+400</f>
        <v>3706</v>
      </c>
      <c r="BR13" s="17">
        <v>3753</v>
      </c>
      <c r="BS13" s="17">
        <v>3533</v>
      </c>
      <c r="BT13" s="17">
        <v>3328</v>
      </c>
      <c r="BU13" s="12"/>
    </row>
    <row r="14" spans="1:73" ht="13.5" customHeight="1" x14ac:dyDescent="0.2">
      <c r="A14" s="11"/>
      <c r="D14" s="2" t="s">
        <v>64</v>
      </c>
      <c r="E14" s="33"/>
      <c r="F14" s="17"/>
      <c r="G14" s="17"/>
      <c r="H14" s="17"/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682</v>
      </c>
      <c r="AH14" s="18">
        <v>701</v>
      </c>
      <c r="AI14" s="18">
        <v>413</v>
      </c>
      <c r="AJ14" s="18">
        <v>407</v>
      </c>
      <c r="AK14" s="18">
        <v>417</v>
      </c>
      <c r="AL14" s="18">
        <v>388</v>
      </c>
      <c r="AM14" s="18"/>
      <c r="AN14" s="18"/>
      <c r="AO14" s="18">
        <f>1+5+242+52-124</f>
        <v>176</v>
      </c>
      <c r="AP14" s="18">
        <f>2+0+221+46-134</f>
        <v>135</v>
      </c>
      <c r="AQ14" s="18">
        <f>2+1+182+33-113</f>
        <v>105</v>
      </c>
      <c r="AR14" s="18">
        <f>1+0+101+42-44</f>
        <v>100</v>
      </c>
      <c r="AS14" s="18">
        <f>0+0+230+17-172</f>
        <v>75</v>
      </c>
      <c r="AT14" s="18">
        <f>1+1+317+28-265</f>
        <v>82</v>
      </c>
      <c r="AU14" s="18">
        <f>9+0+547+70-407</f>
        <v>219</v>
      </c>
      <c r="AV14" s="18">
        <f>20+247+120+1003-1000</f>
        <v>390</v>
      </c>
      <c r="AW14" s="18">
        <f>20+3+2549+141-2324</f>
        <v>389</v>
      </c>
      <c r="AX14" s="18">
        <f>23+13+2327+116-2132</f>
        <v>347</v>
      </c>
      <c r="AY14" s="18">
        <f>16+10+2442+163-2249</f>
        <v>382</v>
      </c>
      <c r="AZ14" s="18">
        <f>9+4+2526+116-2314</f>
        <v>341</v>
      </c>
      <c r="BA14" s="18">
        <f>14+18+2437+131-2291</f>
        <v>309</v>
      </c>
      <c r="BB14" s="18">
        <f>17+13+2281+111-2145</f>
        <v>277</v>
      </c>
      <c r="BC14" s="18">
        <f>10+17+2142+147-2028</f>
        <v>288</v>
      </c>
      <c r="BD14" s="18">
        <f>27+24+1997+71-1861</f>
        <v>258</v>
      </c>
      <c r="BE14" s="18">
        <f>16+41+1759+94-1600</f>
        <v>310</v>
      </c>
      <c r="BF14" s="18">
        <f>6+46+1499+109-1352</f>
        <v>308</v>
      </c>
      <c r="BG14" s="18">
        <f>11+70+1483+100-1381</f>
        <v>283</v>
      </c>
      <c r="BH14" s="18">
        <f>7+80+1495+81-1380</f>
        <v>283</v>
      </c>
      <c r="BI14" s="18">
        <f>8+94+1974+91-1851</f>
        <v>316</v>
      </c>
      <c r="BJ14" s="18">
        <f>10+104+1699+105-1541</f>
        <v>377</v>
      </c>
      <c r="BK14" s="18">
        <f>11+200+2024+91-1855</f>
        <v>471</v>
      </c>
      <c r="BL14" s="18">
        <f>30+126+3013+97-2873</f>
        <v>393</v>
      </c>
      <c r="BM14" s="18">
        <f>57+84+3584+75-3422</f>
        <v>378</v>
      </c>
      <c r="BN14" s="18">
        <f>47+47+3333+91-2976-217</f>
        <v>325</v>
      </c>
      <c r="BO14" s="18">
        <f>36+60+3466+76-3069-270</f>
        <v>299</v>
      </c>
      <c r="BP14" s="18">
        <f>63+59+3692+62-3080-478</f>
        <v>318</v>
      </c>
      <c r="BQ14" s="18">
        <f>75+21+3780+74-3306-400</f>
        <v>244</v>
      </c>
      <c r="BR14" s="18">
        <f>40+33+3816+47-3753</f>
        <v>183</v>
      </c>
      <c r="BS14" s="18">
        <f>25+20+3610+45-3533</f>
        <v>167</v>
      </c>
      <c r="BT14" s="18">
        <f>41+35+3403+52-3328</f>
        <v>203</v>
      </c>
      <c r="BU14" s="12"/>
    </row>
    <row r="15" spans="1:73" ht="13.5" customHeight="1" x14ac:dyDescent="0.2">
      <c r="A15" s="11"/>
      <c r="E15" s="33"/>
      <c r="F15" s="17"/>
      <c r="G15" s="17"/>
      <c r="H15" s="17"/>
      <c r="I15" s="17"/>
      <c r="J15" s="17"/>
      <c r="K15" s="17"/>
      <c r="L15" s="17">
        <f>(2358-256)+(1512-513)</f>
        <v>3101</v>
      </c>
      <c r="M15" s="17">
        <v>3503</v>
      </c>
      <c r="N15" s="17">
        <v>4260</v>
      </c>
      <c r="O15" s="17">
        <v>5648</v>
      </c>
      <c r="P15" s="17">
        <v>6121</v>
      </c>
      <c r="Q15" s="17">
        <v>6362</v>
      </c>
      <c r="R15" s="17">
        <v>6773</v>
      </c>
      <c r="S15" s="17">
        <v>6512</v>
      </c>
      <c r="T15" s="17">
        <v>6714</v>
      </c>
      <c r="U15" s="17">
        <v>6072</v>
      </c>
      <c r="V15" s="17">
        <v>6406</v>
      </c>
      <c r="W15" s="17">
        <v>7035</v>
      </c>
      <c r="X15" s="17">
        <v>6989</v>
      </c>
      <c r="Y15" s="17">
        <v>6688</v>
      </c>
      <c r="Z15" s="17">
        <v>6341</v>
      </c>
      <c r="AA15" s="17">
        <v>6022</v>
      </c>
      <c r="AB15" s="17">
        <v>6412</v>
      </c>
      <c r="AC15" s="17">
        <v>6743</v>
      </c>
      <c r="AD15" s="17">
        <v>7162</v>
      </c>
      <c r="AE15" s="17">
        <v>6876</v>
      </c>
      <c r="AF15" s="17">
        <v>6873</v>
      </c>
      <c r="AG15" s="17">
        <f t="shared" ref="AG15:AL15" si="0">SUM(AG11:AG14)</f>
        <v>6814</v>
      </c>
      <c r="AH15" s="17">
        <f t="shared" si="0"/>
        <v>7003</v>
      </c>
      <c r="AI15" s="17">
        <f t="shared" si="0"/>
        <v>7141</v>
      </c>
      <c r="AJ15" s="17">
        <f t="shared" si="0"/>
        <v>7026</v>
      </c>
      <c r="AK15" s="17">
        <f t="shared" si="0"/>
        <v>6931</v>
      </c>
      <c r="AL15" s="17">
        <f t="shared" si="0"/>
        <v>6703</v>
      </c>
      <c r="AM15" s="17">
        <v>6514</v>
      </c>
      <c r="AN15" s="17">
        <v>6253</v>
      </c>
      <c r="AO15" s="17">
        <f t="shared" ref="AO15:AT15" si="1">SUM(AO11:AO14)</f>
        <v>5896</v>
      </c>
      <c r="AP15" s="17">
        <f t="shared" si="1"/>
        <v>5400</v>
      </c>
      <c r="AQ15" s="17">
        <f t="shared" si="1"/>
        <v>5319</v>
      </c>
      <c r="AR15" s="17">
        <f t="shared" si="1"/>
        <v>5447</v>
      </c>
      <c r="AS15" s="17">
        <f t="shared" si="1"/>
        <v>5632</v>
      </c>
      <c r="AT15" s="17">
        <f t="shared" si="1"/>
        <v>5919</v>
      </c>
      <c r="AU15" s="17">
        <f t="shared" ref="AU15:BJ15" si="2">SUM(AU11:AU14)</f>
        <v>6108</v>
      </c>
      <c r="AV15" s="17">
        <f t="shared" si="2"/>
        <v>6790</v>
      </c>
      <c r="AW15" s="17">
        <f t="shared" si="2"/>
        <v>8091</v>
      </c>
      <c r="AX15" s="17">
        <f t="shared" si="2"/>
        <v>8299</v>
      </c>
      <c r="AY15" s="17">
        <f t="shared" si="2"/>
        <v>8870</v>
      </c>
      <c r="AZ15" s="17">
        <f t="shared" si="2"/>
        <v>9167</v>
      </c>
      <c r="BA15" s="17">
        <f t="shared" si="2"/>
        <v>9393</v>
      </c>
      <c r="BB15" s="17">
        <f t="shared" si="2"/>
        <v>9487</v>
      </c>
      <c r="BC15" s="17">
        <f t="shared" si="2"/>
        <v>9383</v>
      </c>
      <c r="BD15" s="17">
        <f t="shared" si="2"/>
        <v>9094</v>
      </c>
      <c r="BE15" s="17">
        <f t="shared" si="2"/>
        <v>9261</v>
      </c>
      <c r="BF15" s="17">
        <f t="shared" si="2"/>
        <v>9381</v>
      </c>
      <c r="BG15" s="17">
        <f t="shared" si="2"/>
        <v>9850</v>
      </c>
      <c r="BH15" s="17">
        <f t="shared" si="2"/>
        <v>10122</v>
      </c>
      <c r="BI15" s="17">
        <f t="shared" si="2"/>
        <v>10614</v>
      </c>
      <c r="BJ15" s="17">
        <f t="shared" si="2"/>
        <v>10227</v>
      </c>
      <c r="BK15" s="17">
        <f t="shared" ref="BK15:BP15" si="3">SUM(BK11:BK14)</f>
        <v>10453</v>
      </c>
      <c r="BL15" s="17">
        <f t="shared" si="3"/>
        <v>11243</v>
      </c>
      <c r="BM15" s="17">
        <f t="shared" si="3"/>
        <v>11704</v>
      </c>
      <c r="BN15" s="17">
        <f t="shared" si="3"/>
        <v>11372</v>
      </c>
      <c r="BO15" s="17">
        <f t="shared" si="3"/>
        <v>11319</v>
      </c>
      <c r="BP15" s="17">
        <f t="shared" si="3"/>
        <v>11301</v>
      </c>
      <c r="BQ15" s="17">
        <f>SUM(BQ11:BQ14)</f>
        <v>11027</v>
      </c>
      <c r="BR15" s="17">
        <f>SUM(BR11:BR14)</f>
        <v>10698</v>
      </c>
      <c r="BS15" s="17">
        <f>SUM(BS11:BS14)</f>
        <v>10179</v>
      </c>
      <c r="BT15" s="17">
        <f>SUM(BT11:BT14)</f>
        <v>10149</v>
      </c>
      <c r="BU15" s="12"/>
    </row>
    <row r="16" spans="1:73" ht="13.5" customHeight="1" x14ac:dyDescent="0.2">
      <c r="A16" s="11"/>
      <c r="C16" s="4" t="s">
        <v>65</v>
      </c>
      <c r="E16" s="3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2"/>
    </row>
    <row r="17" spans="1:73" ht="13.5" customHeight="1" x14ac:dyDescent="0.2">
      <c r="A17" s="11"/>
      <c r="D17" s="2" t="s">
        <v>78</v>
      </c>
      <c r="E17" s="3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v>505</v>
      </c>
      <c r="S17" s="17">
        <v>531</v>
      </c>
      <c r="T17" s="17"/>
      <c r="U17" s="17"/>
      <c r="V17" s="17"/>
      <c r="W17" s="17"/>
      <c r="X17" s="17"/>
      <c r="Y17" s="17"/>
      <c r="Z17" s="17">
        <v>638</v>
      </c>
      <c r="AA17" s="17">
        <v>637</v>
      </c>
      <c r="AB17" s="17">
        <v>640</v>
      </c>
      <c r="AC17" s="17">
        <v>629</v>
      </c>
      <c r="AD17" s="17">
        <v>628</v>
      </c>
      <c r="AE17" s="17">
        <v>589</v>
      </c>
      <c r="AF17" s="17">
        <v>549</v>
      </c>
      <c r="AG17" s="17">
        <v>504</v>
      </c>
      <c r="AH17" s="17">
        <v>460</v>
      </c>
      <c r="AI17" s="17">
        <v>441</v>
      </c>
      <c r="AJ17" s="17">
        <v>430</v>
      </c>
      <c r="AK17" s="17">
        <v>390</v>
      </c>
      <c r="AL17" s="17">
        <v>353</v>
      </c>
      <c r="AM17" s="17">
        <v>320</v>
      </c>
      <c r="AN17" s="17">
        <v>311</v>
      </c>
      <c r="AO17" s="17">
        <v>298</v>
      </c>
      <c r="AP17" s="17">
        <v>313</v>
      </c>
      <c r="AQ17" s="17">
        <v>313</v>
      </c>
      <c r="AR17" s="17">
        <v>308</v>
      </c>
      <c r="AS17" s="17">
        <v>309</v>
      </c>
      <c r="AT17" s="17">
        <v>311</v>
      </c>
      <c r="AU17" s="17">
        <f>168+151</f>
        <v>319</v>
      </c>
      <c r="AV17" s="17">
        <f>167+142</f>
        <v>309</v>
      </c>
      <c r="AW17" s="17">
        <v>320</v>
      </c>
      <c r="AX17" s="17">
        <v>329</v>
      </c>
      <c r="AY17" s="17">
        <v>347</v>
      </c>
      <c r="AZ17" s="17">
        <v>360</v>
      </c>
      <c r="BA17" s="17">
        <v>381</v>
      </c>
      <c r="BB17" s="17">
        <v>388</v>
      </c>
      <c r="BC17" s="17">
        <v>393</v>
      </c>
      <c r="BD17" s="17">
        <v>401</v>
      </c>
      <c r="BE17" s="17">
        <v>399</v>
      </c>
      <c r="BF17" s="17">
        <v>401</v>
      </c>
      <c r="BG17" s="17">
        <v>405</v>
      </c>
      <c r="BH17" s="17">
        <v>420</v>
      </c>
      <c r="BI17" s="17">
        <v>425</v>
      </c>
      <c r="BJ17" s="17">
        <v>425</v>
      </c>
      <c r="BK17" s="17">
        <v>426</v>
      </c>
      <c r="BL17" s="62">
        <v>432</v>
      </c>
      <c r="BM17" s="62">
        <v>439</v>
      </c>
      <c r="BN17" s="62">
        <v>434</v>
      </c>
      <c r="BO17" s="62">
        <v>432</v>
      </c>
      <c r="BP17" s="62">
        <v>433</v>
      </c>
      <c r="BQ17" s="62">
        <v>432</v>
      </c>
      <c r="BR17" s="62">
        <v>430</v>
      </c>
      <c r="BS17" s="62">
        <v>428</v>
      </c>
      <c r="BT17" s="62">
        <v>431</v>
      </c>
      <c r="BU17" s="12"/>
    </row>
    <row r="18" spans="1:73" ht="13.5" customHeight="1" x14ac:dyDescent="0.2">
      <c r="A18" s="11"/>
      <c r="D18" s="2" t="s">
        <v>66</v>
      </c>
      <c r="E18" s="3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v>355</v>
      </c>
      <c r="S18" s="17"/>
      <c r="T18" s="17"/>
      <c r="U18" s="17"/>
      <c r="V18" s="17"/>
      <c r="W18" s="17"/>
      <c r="X18" s="17"/>
      <c r="Y18" s="17"/>
      <c r="Z18" s="17">
        <v>468</v>
      </c>
      <c r="AA18" s="17">
        <v>471</v>
      </c>
      <c r="AB18" s="17">
        <v>464</v>
      </c>
      <c r="AC18" s="17">
        <v>439</v>
      </c>
      <c r="AD18" s="17">
        <v>439</v>
      </c>
      <c r="AE18" s="17">
        <v>461</v>
      </c>
      <c r="AF18" s="17">
        <v>455</v>
      </c>
      <c r="AG18" s="17">
        <v>450</v>
      </c>
      <c r="AH18" s="17">
        <v>444</v>
      </c>
      <c r="AI18" s="17">
        <v>449</v>
      </c>
      <c r="AJ18" s="17">
        <v>454</v>
      </c>
      <c r="AK18" s="17">
        <v>457</v>
      </c>
      <c r="AL18" s="17">
        <v>475</v>
      </c>
      <c r="AM18" s="17">
        <v>498</v>
      </c>
      <c r="AN18" s="17">
        <v>484</v>
      </c>
      <c r="AO18" s="17">
        <v>482</v>
      </c>
      <c r="AP18" s="17">
        <v>460</v>
      </c>
      <c r="AQ18" s="17">
        <v>487</v>
      </c>
      <c r="AR18" s="17">
        <v>487</v>
      </c>
      <c r="AS18" s="17">
        <v>501</v>
      </c>
      <c r="AT18" s="17">
        <v>501</v>
      </c>
      <c r="AU18" s="17">
        <f>366+97+21+14</f>
        <v>498</v>
      </c>
      <c r="AV18" s="17">
        <f>365+89+23+13</f>
        <v>490</v>
      </c>
      <c r="AW18" s="17">
        <v>479</v>
      </c>
      <c r="AX18" s="17">
        <v>493</v>
      </c>
      <c r="AY18" s="17">
        <v>511</v>
      </c>
      <c r="AZ18" s="17">
        <f>513-5</f>
        <v>508</v>
      </c>
      <c r="BA18" s="17">
        <v>535</v>
      </c>
      <c r="BB18" s="17">
        <v>528</v>
      </c>
      <c r="BC18" s="17">
        <v>515</v>
      </c>
      <c r="BD18" s="17">
        <v>498</v>
      </c>
      <c r="BE18" s="17">
        <v>492</v>
      </c>
      <c r="BF18" s="17">
        <v>499</v>
      </c>
      <c r="BG18" s="17">
        <v>489</v>
      </c>
      <c r="BH18" s="17">
        <v>470</v>
      </c>
      <c r="BI18" s="17">
        <v>463</v>
      </c>
      <c r="BJ18" s="17">
        <v>477</v>
      </c>
      <c r="BK18" s="17">
        <v>470</v>
      </c>
      <c r="BL18" s="62">
        <v>463</v>
      </c>
      <c r="BM18" s="62">
        <v>416</v>
      </c>
      <c r="BN18" s="62">
        <v>406</v>
      </c>
      <c r="BO18" s="62">
        <v>400</v>
      </c>
      <c r="BP18" s="62">
        <v>383</v>
      </c>
      <c r="BQ18" s="62">
        <v>399</v>
      </c>
      <c r="BR18" s="62">
        <v>402</v>
      </c>
      <c r="BS18" s="62">
        <v>425</v>
      </c>
      <c r="BT18" s="62">
        <v>401</v>
      </c>
      <c r="BU18" s="12"/>
    </row>
    <row r="19" spans="1:73" ht="13.5" customHeight="1" x14ac:dyDescent="0.2">
      <c r="A19" s="11"/>
      <c r="D19" s="2" t="s">
        <v>67</v>
      </c>
      <c r="E19" s="3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>
        <v>280</v>
      </c>
      <c r="AA19" s="17">
        <v>286</v>
      </c>
      <c r="AB19" s="17">
        <v>309</v>
      </c>
      <c r="AC19" s="17">
        <v>323</v>
      </c>
      <c r="AD19" s="17">
        <v>351</v>
      </c>
      <c r="AE19" s="17">
        <v>366</v>
      </c>
      <c r="AF19" s="17">
        <v>379</v>
      </c>
      <c r="AG19" s="17">
        <v>376</v>
      </c>
      <c r="AH19" s="17">
        <v>372</v>
      </c>
      <c r="AI19" s="17">
        <v>354</v>
      </c>
      <c r="AJ19" s="17">
        <v>347</v>
      </c>
      <c r="AK19" s="17">
        <v>356</v>
      </c>
      <c r="AL19" s="17">
        <v>359</v>
      </c>
      <c r="AM19" s="17">
        <v>365</v>
      </c>
      <c r="AN19" s="17">
        <v>375</v>
      </c>
      <c r="AO19" s="17">
        <v>371</v>
      </c>
      <c r="AP19" s="17">
        <v>378</v>
      </c>
      <c r="AQ19" s="17">
        <v>371</v>
      </c>
      <c r="AR19" s="17">
        <v>366</v>
      </c>
      <c r="AS19" s="17">
        <v>358</v>
      </c>
      <c r="AT19" s="17">
        <v>356</v>
      </c>
      <c r="AU19" s="17">
        <f>275+82</f>
        <v>357</v>
      </c>
      <c r="AV19" s="17">
        <f>280+83</f>
        <v>363</v>
      </c>
      <c r="AW19" s="17">
        <v>366</v>
      </c>
      <c r="AX19" s="17">
        <v>366</v>
      </c>
      <c r="AY19" s="17">
        <v>367</v>
      </c>
      <c r="AZ19" s="17">
        <v>357</v>
      </c>
      <c r="BA19" s="17">
        <v>353</v>
      </c>
      <c r="BB19" s="17">
        <v>364</v>
      </c>
      <c r="BC19" s="17">
        <v>363</v>
      </c>
      <c r="BD19" s="17">
        <v>384</v>
      </c>
      <c r="BE19" s="17">
        <v>380</v>
      </c>
      <c r="BF19" s="17">
        <v>384</v>
      </c>
      <c r="BG19" s="17">
        <v>392</v>
      </c>
      <c r="BH19" s="17">
        <v>406</v>
      </c>
      <c r="BI19" s="17">
        <v>416</v>
      </c>
      <c r="BJ19" s="17">
        <v>427</v>
      </c>
      <c r="BK19" s="17">
        <v>448</v>
      </c>
      <c r="BL19" s="62">
        <v>424</v>
      </c>
      <c r="BM19" s="62">
        <v>451</v>
      </c>
      <c r="BN19" s="62">
        <v>447</v>
      </c>
      <c r="BO19" s="62">
        <v>439</v>
      </c>
      <c r="BP19" s="62">
        <v>448</v>
      </c>
      <c r="BQ19" s="62">
        <v>465</v>
      </c>
      <c r="BR19" s="62">
        <v>490</v>
      </c>
      <c r="BS19" s="62">
        <v>517</v>
      </c>
      <c r="BT19" s="62">
        <v>535</v>
      </c>
      <c r="BU19" s="12"/>
    </row>
    <row r="20" spans="1:73" ht="13.5" customHeight="1" x14ac:dyDescent="0.2">
      <c r="A20" s="11"/>
      <c r="D20" s="2" t="s">
        <v>106</v>
      </c>
      <c r="E20" s="33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62"/>
      <c r="BM20" s="62"/>
      <c r="BN20" s="62"/>
      <c r="BO20" s="62"/>
      <c r="BP20" s="62"/>
      <c r="BQ20" s="62"/>
      <c r="BR20" s="62"/>
      <c r="BS20" s="62"/>
      <c r="BT20" s="62">
        <v>102</v>
      </c>
      <c r="BU20" s="12"/>
    </row>
    <row r="21" spans="1:73" ht="13.5" customHeight="1" x14ac:dyDescent="0.2">
      <c r="A21" s="11"/>
      <c r="D21" s="2" t="s">
        <v>79</v>
      </c>
      <c r="E21" s="33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>
        <v>8</v>
      </c>
      <c r="AA21" s="18">
        <v>7</v>
      </c>
      <c r="AB21" s="18">
        <v>4</v>
      </c>
      <c r="AC21" s="18">
        <v>6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12</v>
      </c>
      <c r="AN21" s="18">
        <v>8</v>
      </c>
      <c r="AO21" s="18">
        <v>16</v>
      </c>
      <c r="AP21" s="18">
        <v>17</v>
      </c>
      <c r="AQ21" s="18">
        <v>27</v>
      </c>
      <c r="AR21" s="18">
        <v>32</v>
      </c>
      <c r="AS21" s="18">
        <v>45</v>
      </c>
      <c r="AT21" s="18">
        <v>56</v>
      </c>
      <c r="AU21" s="18">
        <f>92+6</f>
        <v>98</v>
      </c>
      <c r="AV21" s="18">
        <f>174+26</f>
        <v>200</v>
      </c>
      <c r="AW21" s="18">
        <v>176</v>
      </c>
      <c r="AX21" s="18">
        <v>202</v>
      </c>
      <c r="AY21" s="18">
        <v>214</v>
      </c>
      <c r="AZ21" s="18">
        <v>210</v>
      </c>
      <c r="BA21" s="18">
        <v>225</v>
      </c>
      <c r="BB21" s="18">
        <v>243</v>
      </c>
      <c r="BC21" s="18">
        <v>238</v>
      </c>
      <c r="BD21" s="18">
        <v>265</v>
      </c>
      <c r="BE21" s="18">
        <v>298</v>
      </c>
      <c r="BF21" s="18">
        <v>339</v>
      </c>
      <c r="BG21" s="18">
        <v>352</v>
      </c>
      <c r="BH21" s="18">
        <v>363</v>
      </c>
      <c r="BI21" s="18">
        <v>421</v>
      </c>
      <c r="BJ21" s="18">
        <v>424</v>
      </c>
      <c r="BK21" s="39">
        <v>438</v>
      </c>
      <c r="BL21" s="63">
        <v>447</v>
      </c>
      <c r="BM21" s="63">
        <v>458</v>
      </c>
      <c r="BN21" s="63">
        <v>482</v>
      </c>
      <c r="BO21" s="63">
        <v>498</v>
      </c>
      <c r="BP21" s="63">
        <v>484</v>
      </c>
      <c r="BQ21" s="63">
        <v>478</v>
      </c>
      <c r="BR21" s="63">
        <v>436</v>
      </c>
      <c r="BS21" s="63">
        <v>387</v>
      </c>
      <c r="BT21" s="63">
        <v>326</v>
      </c>
      <c r="BU21" s="12"/>
    </row>
    <row r="22" spans="1:73" ht="13.5" customHeight="1" x14ac:dyDescent="0.2">
      <c r="A22" s="11"/>
      <c r="E22" s="33"/>
      <c r="F22" s="17"/>
      <c r="G22" s="17"/>
      <c r="H22" s="17"/>
      <c r="I22" s="17"/>
      <c r="J22" s="17"/>
      <c r="K22" s="17"/>
      <c r="L22" s="17"/>
      <c r="M22" s="17"/>
      <c r="N22" s="17"/>
      <c r="O22" s="17">
        <v>456</v>
      </c>
      <c r="P22" s="17">
        <v>465</v>
      </c>
      <c r="Q22" s="17">
        <v>469</v>
      </c>
      <c r="R22" s="17">
        <f>SUM(R17:R18)</f>
        <v>860</v>
      </c>
      <c r="S22" s="17">
        <v>1009</v>
      </c>
      <c r="T22" s="17">
        <v>577</v>
      </c>
      <c r="U22" s="17">
        <v>1231</v>
      </c>
      <c r="V22" s="17">
        <v>1254</v>
      </c>
      <c r="W22" s="17">
        <v>1281</v>
      </c>
      <c r="X22" s="17">
        <v>1308</v>
      </c>
      <c r="Y22" s="17">
        <v>1365</v>
      </c>
      <c r="Z22" s="17">
        <f t="shared" ref="Z22:BJ22" si="4">SUM(Z17:Z21)</f>
        <v>1394</v>
      </c>
      <c r="AA22" s="17">
        <f t="shared" si="4"/>
        <v>1401</v>
      </c>
      <c r="AB22" s="17">
        <f t="shared" si="4"/>
        <v>1417</v>
      </c>
      <c r="AC22" s="17">
        <f t="shared" si="4"/>
        <v>1397</v>
      </c>
      <c r="AD22" s="17">
        <f t="shared" si="4"/>
        <v>1418</v>
      </c>
      <c r="AE22" s="17">
        <f>SUM(AE17:AE21)</f>
        <v>1416</v>
      </c>
      <c r="AF22" s="17">
        <f t="shared" si="4"/>
        <v>1383</v>
      </c>
      <c r="AG22" s="17">
        <f t="shared" si="4"/>
        <v>1330</v>
      </c>
      <c r="AH22" s="17">
        <f t="shared" si="4"/>
        <v>1276</v>
      </c>
      <c r="AI22" s="17">
        <f t="shared" si="4"/>
        <v>1244</v>
      </c>
      <c r="AJ22" s="17">
        <f t="shared" si="4"/>
        <v>1231</v>
      </c>
      <c r="AK22" s="17">
        <f t="shared" si="4"/>
        <v>1203</v>
      </c>
      <c r="AL22" s="17">
        <f t="shared" si="4"/>
        <v>1187</v>
      </c>
      <c r="AM22" s="17">
        <f t="shared" si="4"/>
        <v>1195</v>
      </c>
      <c r="AN22" s="17">
        <f t="shared" si="4"/>
        <v>1178</v>
      </c>
      <c r="AO22" s="17">
        <f t="shared" si="4"/>
        <v>1167</v>
      </c>
      <c r="AP22" s="17">
        <f t="shared" si="4"/>
        <v>1168</v>
      </c>
      <c r="AQ22" s="17">
        <f t="shared" si="4"/>
        <v>1198</v>
      </c>
      <c r="AR22" s="17">
        <f t="shared" si="4"/>
        <v>1193</v>
      </c>
      <c r="AS22" s="17">
        <f t="shared" si="4"/>
        <v>1213</v>
      </c>
      <c r="AT22" s="17">
        <f t="shared" si="4"/>
        <v>1224</v>
      </c>
      <c r="AU22" s="17">
        <f t="shared" si="4"/>
        <v>1272</v>
      </c>
      <c r="AV22" s="17">
        <f t="shared" si="4"/>
        <v>1362</v>
      </c>
      <c r="AW22" s="17">
        <f t="shared" si="4"/>
        <v>1341</v>
      </c>
      <c r="AX22" s="17">
        <f t="shared" si="4"/>
        <v>1390</v>
      </c>
      <c r="AY22" s="17">
        <f t="shared" si="4"/>
        <v>1439</v>
      </c>
      <c r="AZ22" s="17">
        <f t="shared" si="4"/>
        <v>1435</v>
      </c>
      <c r="BA22" s="17">
        <f t="shared" si="4"/>
        <v>1494</v>
      </c>
      <c r="BB22" s="17">
        <f t="shared" si="4"/>
        <v>1523</v>
      </c>
      <c r="BC22" s="17">
        <f t="shared" si="4"/>
        <v>1509</v>
      </c>
      <c r="BD22" s="17">
        <f t="shared" si="4"/>
        <v>1548</v>
      </c>
      <c r="BE22" s="17">
        <f t="shared" si="4"/>
        <v>1569</v>
      </c>
      <c r="BF22" s="17">
        <f t="shared" si="4"/>
        <v>1623</v>
      </c>
      <c r="BG22" s="17">
        <f t="shared" si="4"/>
        <v>1638</v>
      </c>
      <c r="BH22" s="17">
        <f t="shared" si="4"/>
        <v>1659</v>
      </c>
      <c r="BI22" s="17">
        <f t="shared" si="4"/>
        <v>1725</v>
      </c>
      <c r="BJ22" s="17">
        <f t="shared" si="4"/>
        <v>1753</v>
      </c>
      <c r="BK22" s="17">
        <f t="shared" ref="BK22:BS22" si="5">SUM(BK17:BK21)</f>
        <v>1782</v>
      </c>
      <c r="BL22" s="17">
        <f t="shared" si="5"/>
        <v>1766</v>
      </c>
      <c r="BM22" s="17">
        <f t="shared" si="5"/>
        <v>1764</v>
      </c>
      <c r="BN22" s="17">
        <f t="shared" si="5"/>
        <v>1769</v>
      </c>
      <c r="BO22" s="17">
        <f t="shared" si="5"/>
        <v>1769</v>
      </c>
      <c r="BP22" s="17">
        <f t="shared" si="5"/>
        <v>1748</v>
      </c>
      <c r="BQ22" s="17">
        <f t="shared" si="5"/>
        <v>1774</v>
      </c>
      <c r="BR22" s="17">
        <f t="shared" si="5"/>
        <v>1758</v>
      </c>
      <c r="BS22" s="17">
        <f t="shared" si="5"/>
        <v>1757</v>
      </c>
      <c r="BT22" s="17">
        <f t="shared" ref="BT22" si="6">SUM(BT17:BT21)</f>
        <v>1795</v>
      </c>
      <c r="BU22" s="12"/>
    </row>
    <row r="23" spans="1:73" ht="13.5" customHeight="1" x14ac:dyDescent="0.2">
      <c r="A23" s="11"/>
      <c r="C23" s="4" t="s">
        <v>69</v>
      </c>
      <c r="E23" s="3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2"/>
    </row>
    <row r="24" spans="1:73" ht="13.5" customHeight="1" x14ac:dyDescent="0.2">
      <c r="A24" s="11"/>
      <c r="D24" s="2" t="s">
        <v>88</v>
      </c>
      <c r="E24" s="33"/>
      <c r="F24" s="17"/>
      <c r="G24" s="17"/>
      <c r="H24" s="17"/>
      <c r="I24" s="17"/>
      <c r="J24" s="17"/>
      <c r="K24" s="17"/>
      <c r="L24" s="17"/>
      <c r="M24" s="17"/>
      <c r="N24" s="17"/>
      <c r="O24" s="17">
        <f>1576</f>
        <v>1576</v>
      </c>
      <c r="P24" s="17">
        <f>1682+8</f>
        <v>1690</v>
      </c>
      <c r="Q24" s="17">
        <f>2048+1</f>
        <v>2049</v>
      </c>
      <c r="R24" s="17">
        <v>1874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>
        <f>2326+150</f>
        <v>2476</v>
      </c>
      <c r="AI24" s="17">
        <v>2491</v>
      </c>
      <c r="AJ24" s="17">
        <v>2694</v>
      </c>
      <c r="AK24" s="17">
        <v>2713</v>
      </c>
      <c r="AL24" s="17">
        <v>2809</v>
      </c>
      <c r="AM24" s="17">
        <v>2790</v>
      </c>
      <c r="AN24" s="17">
        <v>2811</v>
      </c>
      <c r="AO24" s="17">
        <f>257+332+1242+712+5+2+111+26</f>
        <v>2687</v>
      </c>
      <c r="AP24" s="17">
        <f>258+321+1142+733+11+3+79+27</f>
        <v>2574</v>
      </c>
      <c r="AQ24" s="17">
        <f>242+378+1207+734+4+1+75+26</f>
        <v>2667</v>
      </c>
      <c r="AR24" s="17">
        <f>295+398+1216+746+7+3+76+26</f>
        <v>2767</v>
      </c>
      <c r="AS24" s="17">
        <f>324+379+1133+755+8+1+54+25</f>
        <v>2679</v>
      </c>
      <c r="AT24" s="17">
        <f>317+399+1075+680+11+3+58+21</f>
        <v>2564</v>
      </c>
      <c r="AU24" s="17">
        <f>336+366+1075+618+13+2+45+13</f>
        <v>2468</v>
      </c>
      <c r="AV24" s="17">
        <f>358+367+1072+597+9+45+19+6</f>
        <v>2473</v>
      </c>
      <c r="AW24" s="17">
        <f>376+449+1030+512+12+2+59+13</f>
        <v>2453</v>
      </c>
      <c r="AX24" s="17">
        <f>339+417+1070+591+13+0+73+9</f>
        <v>2512</v>
      </c>
      <c r="AY24" s="17">
        <f>444+421+1110+644+16+2+82+20</f>
        <v>2739</v>
      </c>
      <c r="AZ24" s="17">
        <f>507+456+1045+677+21+4+80+23</f>
        <v>2813</v>
      </c>
      <c r="BA24" s="17">
        <f>458+442+1049+575+18+66+14</f>
        <v>2622</v>
      </c>
      <c r="BB24" s="17">
        <f>503+444+956+563+12+80+12</f>
        <v>2570</v>
      </c>
      <c r="BC24" s="17">
        <f>462+511+953+552+17+1+66+10</f>
        <v>2572</v>
      </c>
      <c r="BD24" s="17">
        <f>423+548+1024+587+16+1+66+12</f>
        <v>2677</v>
      </c>
      <c r="BE24" s="17">
        <f>428+577+1020+623+7+3+53+12</f>
        <v>2723</v>
      </c>
      <c r="BF24" s="17">
        <f>489+554+1047+662+3+2+63+13</f>
        <v>2833</v>
      </c>
      <c r="BG24" s="17">
        <f>528+519+1063+703+6+1+61+12</f>
        <v>2893</v>
      </c>
      <c r="BH24" s="17">
        <f>519+555+1018+638+3+1+40+15</f>
        <v>2789</v>
      </c>
      <c r="BI24" s="17">
        <f>448+575+958+674+4+1+42+13</f>
        <v>2715</v>
      </c>
      <c r="BJ24" s="17">
        <f>453+707+871+652+3+54+9</f>
        <v>2749</v>
      </c>
      <c r="BK24" s="17">
        <f>424+973+780+587+7+44+10</f>
        <v>2825</v>
      </c>
      <c r="BL24" s="17">
        <f>383+987+658+603+5+5+41+10</f>
        <v>2692</v>
      </c>
      <c r="BM24" s="17">
        <f>358+864+655+594+2+2+26+9</f>
        <v>2510</v>
      </c>
      <c r="BN24" s="17">
        <f>355+594+637+645+2+29+12</f>
        <v>2274</v>
      </c>
      <c r="BO24" s="17">
        <f>384+558+733+610+3+37+13</f>
        <v>2338</v>
      </c>
      <c r="BP24" s="17">
        <f>391+565+798+673+36+12</f>
        <v>2475</v>
      </c>
      <c r="BQ24" s="17">
        <f>435+479+882+690+3+2+26+6</f>
        <v>2523</v>
      </c>
      <c r="BR24" s="17">
        <f>402+961+782+618+3+23+10</f>
        <v>2799</v>
      </c>
      <c r="BS24" s="17">
        <f>365+1301+707+640+1+2+19+8</f>
        <v>3043</v>
      </c>
      <c r="BT24" s="17">
        <f>379+1135+631+581+4+3+12+5</f>
        <v>2750</v>
      </c>
      <c r="BU24" s="12"/>
    </row>
    <row r="25" spans="1:73" ht="13.5" customHeight="1" x14ac:dyDescent="0.2">
      <c r="A25" s="11"/>
      <c r="D25" s="2" t="s">
        <v>70</v>
      </c>
      <c r="E25" s="36"/>
      <c r="F25" s="17"/>
      <c r="G25" s="17"/>
      <c r="H25" s="17"/>
      <c r="I25" s="17"/>
      <c r="J25" s="17"/>
      <c r="K25" s="17"/>
      <c r="L25" s="17"/>
      <c r="M25" s="17"/>
      <c r="N25" s="17"/>
      <c r="O25" s="17">
        <v>211</v>
      </c>
      <c r="P25" s="17">
        <v>142</v>
      </c>
      <c r="Q25" s="17">
        <v>123</v>
      </c>
      <c r="R25" s="17">
        <v>167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>
        <v>359</v>
      </c>
      <c r="AI25" s="17">
        <v>361</v>
      </c>
      <c r="AJ25" s="17">
        <v>359</v>
      </c>
      <c r="AK25" s="17">
        <v>352</v>
      </c>
      <c r="AL25" s="17">
        <v>364</v>
      </c>
      <c r="AM25" s="17">
        <v>398</v>
      </c>
      <c r="AN25" s="17">
        <v>377</v>
      </c>
      <c r="AO25" s="17">
        <f>48+63+133+123</f>
        <v>367</v>
      </c>
      <c r="AP25" s="17">
        <f>52+66+133+127</f>
        <v>378</v>
      </c>
      <c r="AQ25" s="17">
        <f>64+80+142+136</f>
        <v>422</v>
      </c>
      <c r="AR25" s="17">
        <f>71+83+155+147</f>
        <v>456</v>
      </c>
      <c r="AS25" s="17">
        <f>66+101+162+161</f>
        <v>490</v>
      </c>
      <c r="AT25" s="17">
        <f>70+116+169+157</f>
        <v>512</v>
      </c>
      <c r="AU25" s="17">
        <f>62+107+175+173</f>
        <v>517</v>
      </c>
      <c r="AV25" s="17">
        <f>50+103+196+192</f>
        <v>541</v>
      </c>
      <c r="AW25" s="17">
        <f>47+110+173+186</f>
        <v>516</v>
      </c>
      <c r="AX25" s="17">
        <f>40+117+171+175</f>
        <v>503</v>
      </c>
      <c r="AY25" s="17">
        <f>46+98+176+203</f>
        <v>523</v>
      </c>
      <c r="AZ25" s="17">
        <f>50+100+167+224</f>
        <v>541</v>
      </c>
      <c r="BA25" s="17">
        <f>44+116+173+213</f>
        <v>546</v>
      </c>
      <c r="BB25" s="17">
        <f>43+99+172+229</f>
        <v>543</v>
      </c>
      <c r="BC25" s="17">
        <f>49+100+152+221</f>
        <v>522</v>
      </c>
      <c r="BD25" s="17">
        <f>41+105+168+222</f>
        <v>536</v>
      </c>
      <c r="BE25" s="17">
        <f>45+152+204+230</f>
        <v>631</v>
      </c>
      <c r="BF25" s="17">
        <f>34+150+216+256</f>
        <v>656</v>
      </c>
      <c r="BG25" s="17">
        <f>30+122+213+299</f>
        <v>664</v>
      </c>
      <c r="BH25" s="17">
        <f>53+130+164+301</f>
        <v>648</v>
      </c>
      <c r="BI25" s="17">
        <f>50+131+172+286</f>
        <v>639</v>
      </c>
      <c r="BJ25" s="17">
        <f>64+149+189+302</f>
        <v>704</v>
      </c>
      <c r="BK25" s="17">
        <f>94+169+215+304</f>
        <v>782</v>
      </c>
      <c r="BL25" s="17">
        <f>90+169+225+318</f>
        <v>802</v>
      </c>
      <c r="BM25" s="17">
        <f>103+174+225+323</f>
        <v>825</v>
      </c>
      <c r="BN25" s="17">
        <f>87+170+215+336</f>
        <v>808</v>
      </c>
      <c r="BO25" s="17">
        <f>88+169+199+355</f>
        <v>811</v>
      </c>
      <c r="BP25" s="17">
        <f>77+142+182+355</f>
        <v>756</v>
      </c>
      <c r="BQ25" s="17">
        <f>63+147+199+330</f>
        <v>739</v>
      </c>
      <c r="BR25" s="17">
        <f>39+145+179+316</f>
        <v>679</v>
      </c>
      <c r="BS25" s="17">
        <f>44+125+172+294</f>
        <v>635</v>
      </c>
      <c r="BT25" s="17">
        <f>29+110+113+245</f>
        <v>497</v>
      </c>
      <c r="BU25" s="12"/>
    </row>
    <row r="26" spans="1:73" ht="13.5" customHeight="1" x14ac:dyDescent="0.2">
      <c r="A26" s="11"/>
      <c r="D26" s="2" t="s">
        <v>64</v>
      </c>
      <c r="E26" s="36"/>
      <c r="F26" s="17"/>
      <c r="G26" s="17"/>
      <c r="H26" s="17"/>
      <c r="I26" s="17"/>
      <c r="J26" s="17"/>
      <c r="K26" s="17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>
        <v>493</v>
      </c>
      <c r="AH26" s="18">
        <v>515</v>
      </c>
      <c r="AI26" s="18">
        <v>346</v>
      </c>
      <c r="AJ26" s="18">
        <v>370</v>
      </c>
      <c r="AK26" s="18">
        <v>429</v>
      </c>
      <c r="AL26" s="18">
        <v>367</v>
      </c>
      <c r="AM26" s="18">
        <v>374</v>
      </c>
      <c r="AN26" s="18">
        <v>540</v>
      </c>
      <c r="AO26" s="18">
        <f>3+2+197+170</f>
        <v>372</v>
      </c>
      <c r="AP26" s="18">
        <f>0+0+212+126</f>
        <v>338</v>
      </c>
      <c r="AQ26" s="18">
        <f>2+2+227+125</f>
        <v>356</v>
      </c>
      <c r="AR26" s="18">
        <f>3+1+206+136</f>
        <v>346</v>
      </c>
      <c r="AS26" s="18">
        <f>2+1+183+98</f>
        <v>284</v>
      </c>
      <c r="AT26" s="18">
        <f>1+0+141+83</f>
        <v>225</v>
      </c>
      <c r="AU26" s="18">
        <f>5+178+63</f>
        <v>246</v>
      </c>
      <c r="AV26" s="18">
        <f>7+215+103+27</f>
        <v>352</v>
      </c>
      <c r="AW26" s="18">
        <f>12+3+197+85</f>
        <v>297</v>
      </c>
      <c r="AX26" s="18">
        <f>8+4+187+66</f>
        <v>265</v>
      </c>
      <c r="AY26" s="18">
        <f>7+5+197+101</f>
        <v>310</v>
      </c>
      <c r="AZ26" s="18">
        <f>9+4+141+116</f>
        <v>270</v>
      </c>
      <c r="BA26" s="18">
        <f>7+2+131+61</f>
        <v>201</v>
      </c>
      <c r="BB26" s="18">
        <f>8+124+51</f>
        <v>183</v>
      </c>
      <c r="BC26" s="18">
        <f>5+5+174+43</f>
        <v>227</v>
      </c>
      <c r="BD26" s="18">
        <f>3+1+497+86</f>
        <v>587</v>
      </c>
      <c r="BE26" s="18">
        <f>2+1+226+67+1</f>
        <v>297</v>
      </c>
      <c r="BF26" s="18">
        <f>18+6+221+60+1</f>
        <v>306</v>
      </c>
      <c r="BG26" s="18">
        <f>1+2+152+59</f>
        <v>214</v>
      </c>
      <c r="BH26" s="18">
        <f>6+185+59+2+3</f>
        <v>255</v>
      </c>
      <c r="BI26" s="18">
        <f>3+4+159+126+1+2+2</f>
        <v>297</v>
      </c>
      <c r="BJ26" s="18">
        <f>2+4+143+124+2+2+4+4</f>
        <v>285</v>
      </c>
      <c r="BK26" s="39">
        <f>1+5+151+142+1+2+2</f>
        <v>304</v>
      </c>
      <c r="BL26" s="39">
        <f>3+8+68+97+1+1+2+2</f>
        <v>182</v>
      </c>
      <c r="BM26" s="39">
        <f>4+1+44+77+2+1+2+1+1</f>
        <v>133</v>
      </c>
      <c r="BN26" s="39">
        <f>2+3+60+79+2+1+1+1</f>
        <v>149</v>
      </c>
      <c r="BO26" s="39">
        <f>3+2+61+69+1+1+1</f>
        <v>138</v>
      </c>
      <c r="BP26" s="39">
        <f>4+3+42+54+1+2+1+1</f>
        <v>108</v>
      </c>
      <c r="BQ26" s="39">
        <f>1+40+30+1+1+3+8</f>
        <v>84</v>
      </c>
      <c r="BR26" s="39">
        <f>8+30+11+1+2+12+5</f>
        <v>69</v>
      </c>
      <c r="BS26" s="39">
        <f>2+2+33+31+1+3+13+4</f>
        <v>89</v>
      </c>
      <c r="BT26" s="39">
        <f>2+18+33+3+4+18+8</f>
        <v>86</v>
      </c>
      <c r="BU26" s="12"/>
    </row>
    <row r="27" spans="1:73" ht="13.5" customHeight="1" x14ac:dyDescent="0.2">
      <c r="A27" s="11"/>
      <c r="E27" s="36"/>
      <c r="F27" s="17"/>
      <c r="G27" s="17"/>
      <c r="H27" s="17"/>
      <c r="I27" s="17"/>
      <c r="J27" s="17"/>
      <c r="K27" s="17"/>
      <c r="L27" s="17">
        <f>256+513</f>
        <v>769</v>
      </c>
      <c r="M27" s="17">
        <v>935</v>
      </c>
      <c r="N27" s="17">
        <v>1483</v>
      </c>
      <c r="O27" s="17">
        <f>SUM(O24:O25)</f>
        <v>1787</v>
      </c>
      <c r="P27" s="17">
        <f>SUM(P24:P25)</f>
        <v>1832</v>
      </c>
      <c r="Q27" s="17">
        <f>SUM(Q24:Q25)</f>
        <v>2172</v>
      </c>
      <c r="R27" s="17">
        <f>SUM(R24:R25)</f>
        <v>2041</v>
      </c>
      <c r="S27" s="17">
        <v>2472</v>
      </c>
      <c r="T27" s="17">
        <v>2603</v>
      </c>
      <c r="U27" s="17">
        <v>2516</v>
      </c>
      <c r="V27" s="17">
        <v>2799</v>
      </c>
      <c r="W27" s="17">
        <v>2991</v>
      </c>
      <c r="X27" s="17">
        <v>3090</v>
      </c>
      <c r="Y27" s="17">
        <v>3204</v>
      </c>
      <c r="Z27" s="17">
        <v>2819</v>
      </c>
      <c r="AA27" s="17">
        <v>2889</v>
      </c>
      <c r="AB27" s="17">
        <v>2995</v>
      </c>
      <c r="AC27" s="17">
        <v>3306</v>
      </c>
      <c r="AD27" s="17">
        <v>3191</v>
      </c>
      <c r="AE27" s="17">
        <v>3127</v>
      </c>
      <c r="AF27" s="17">
        <v>3240</v>
      </c>
      <c r="AG27" s="17">
        <v>3320</v>
      </c>
      <c r="AH27" s="17">
        <f t="shared" ref="AH27:BL27" si="7">SUM(AH24:AH26)</f>
        <v>3350</v>
      </c>
      <c r="AI27" s="17">
        <f t="shared" si="7"/>
        <v>3198</v>
      </c>
      <c r="AJ27" s="17">
        <f t="shared" si="7"/>
        <v>3423</v>
      </c>
      <c r="AK27" s="17">
        <f t="shared" si="7"/>
        <v>3494</v>
      </c>
      <c r="AL27" s="17">
        <f t="shared" si="7"/>
        <v>3540</v>
      </c>
      <c r="AM27" s="17">
        <f t="shared" si="7"/>
        <v>3562</v>
      </c>
      <c r="AN27" s="17">
        <f t="shared" si="7"/>
        <v>3728</v>
      </c>
      <c r="AO27" s="17">
        <f t="shared" si="7"/>
        <v>3426</v>
      </c>
      <c r="AP27" s="17">
        <f t="shared" si="7"/>
        <v>3290</v>
      </c>
      <c r="AQ27" s="17">
        <f t="shared" si="7"/>
        <v>3445</v>
      </c>
      <c r="AR27" s="17">
        <f t="shared" si="7"/>
        <v>3569</v>
      </c>
      <c r="AS27" s="17">
        <f t="shared" si="7"/>
        <v>3453</v>
      </c>
      <c r="AT27" s="17">
        <f t="shared" si="7"/>
        <v>3301</v>
      </c>
      <c r="AU27" s="17">
        <f t="shared" si="7"/>
        <v>3231</v>
      </c>
      <c r="AV27" s="17">
        <f t="shared" si="7"/>
        <v>3366</v>
      </c>
      <c r="AW27" s="17">
        <f t="shared" si="7"/>
        <v>3266</v>
      </c>
      <c r="AX27" s="17">
        <f>SUM(AX24:AX26)</f>
        <v>3280</v>
      </c>
      <c r="AY27" s="17">
        <f t="shared" si="7"/>
        <v>3572</v>
      </c>
      <c r="AZ27" s="17">
        <f t="shared" si="7"/>
        <v>3624</v>
      </c>
      <c r="BA27" s="17">
        <f t="shared" si="7"/>
        <v>3369</v>
      </c>
      <c r="BB27" s="17">
        <f t="shared" si="7"/>
        <v>3296</v>
      </c>
      <c r="BC27" s="17">
        <f t="shared" si="7"/>
        <v>3321</v>
      </c>
      <c r="BD27" s="17">
        <f t="shared" si="7"/>
        <v>3800</v>
      </c>
      <c r="BE27" s="17">
        <f t="shared" si="7"/>
        <v>3651</v>
      </c>
      <c r="BF27" s="17">
        <f t="shared" si="7"/>
        <v>3795</v>
      </c>
      <c r="BG27" s="17">
        <f t="shared" si="7"/>
        <v>3771</v>
      </c>
      <c r="BH27" s="17">
        <f t="shared" si="7"/>
        <v>3692</v>
      </c>
      <c r="BI27" s="17">
        <f t="shared" si="7"/>
        <v>3651</v>
      </c>
      <c r="BJ27" s="17">
        <f t="shared" si="7"/>
        <v>3738</v>
      </c>
      <c r="BK27" s="17">
        <f t="shared" si="7"/>
        <v>3911</v>
      </c>
      <c r="BL27" s="17">
        <f t="shared" si="7"/>
        <v>3676</v>
      </c>
      <c r="BM27" s="17">
        <f t="shared" ref="BM27:BS27" si="8">SUM(BM24:BM26)</f>
        <v>3468</v>
      </c>
      <c r="BN27" s="17">
        <f t="shared" si="8"/>
        <v>3231</v>
      </c>
      <c r="BO27" s="17">
        <f t="shared" si="8"/>
        <v>3287</v>
      </c>
      <c r="BP27" s="17">
        <f t="shared" si="8"/>
        <v>3339</v>
      </c>
      <c r="BQ27" s="17">
        <f t="shared" si="8"/>
        <v>3346</v>
      </c>
      <c r="BR27" s="17">
        <f t="shared" si="8"/>
        <v>3547</v>
      </c>
      <c r="BS27" s="17">
        <f t="shared" si="8"/>
        <v>3767</v>
      </c>
      <c r="BT27" s="17">
        <f t="shared" ref="BT27" si="9">SUM(BT24:BT26)</f>
        <v>3333</v>
      </c>
      <c r="BU27" s="12"/>
    </row>
    <row r="28" spans="1:73" ht="13.5" customHeight="1" x14ac:dyDescent="0.2">
      <c r="A28" s="11"/>
      <c r="E28" s="3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 t="s">
        <v>80</v>
      </c>
      <c r="BI28" s="17" t="s">
        <v>80</v>
      </c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2"/>
    </row>
    <row r="29" spans="1:73" ht="13.5" customHeight="1" x14ac:dyDescent="0.2">
      <c r="A29" s="11"/>
      <c r="C29" s="4" t="s">
        <v>71</v>
      </c>
      <c r="E29" s="36"/>
      <c r="F29" s="37">
        <v>649</v>
      </c>
      <c r="G29" s="37">
        <v>1226</v>
      </c>
      <c r="H29" s="37">
        <v>1994</v>
      </c>
      <c r="I29" s="37">
        <v>3051</v>
      </c>
      <c r="J29" s="37">
        <v>3455</v>
      </c>
      <c r="K29" s="37">
        <v>3589</v>
      </c>
      <c r="L29" s="17">
        <f>L15+L27</f>
        <v>3870</v>
      </c>
      <c r="M29" s="17">
        <f>M15+M27</f>
        <v>4438</v>
      </c>
      <c r="N29" s="17">
        <f>N15+N27</f>
        <v>5743</v>
      </c>
      <c r="O29" s="17">
        <f t="shared" ref="O29:BI29" si="10">O15+O22+O27</f>
        <v>7891</v>
      </c>
      <c r="P29" s="17">
        <f t="shared" si="10"/>
        <v>8418</v>
      </c>
      <c r="Q29" s="17">
        <f t="shared" si="10"/>
        <v>9003</v>
      </c>
      <c r="R29" s="17">
        <f t="shared" si="10"/>
        <v>9674</v>
      </c>
      <c r="S29" s="17">
        <f t="shared" si="10"/>
        <v>9993</v>
      </c>
      <c r="T29" s="17">
        <f t="shared" si="10"/>
        <v>9894</v>
      </c>
      <c r="U29" s="17">
        <f t="shared" si="10"/>
        <v>9819</v>
      </c>
      <c r="V29" s="17">
        <f t="shared" si="10"/>
        <v>10459</v>
      </c>
      <c r="W29" s="17">
        <f t="shared" si="10"/>
        <v>11307</v>
      </c>
      <c r="X29" s="17">
        <f t="shared" si="10"/>
        <v>11387</v>
      </c>
      <c r="Y29" s="17">
        <f t="shared" si="10"/>
        <v>11257</v>
      </c>
      <c r="Z29" s="17">
        <f t="shared" si="10"/>
        <v>10554</v>
      </c>
      <c r="AA29" s="17">
        <f t="shared" si="10"/>
        <v>10312</v>
      </c>
      <c r="AB29" s="17">
        <f t="shared" si="10"/>
        <v>10824</v>
      </c>
      <c r="AC29" s="17">
        <f t="shared" si="10"/>
        <v>11446</v>
      </c>
      <c r="AD29" s="17">
        <f t="shared" si="10"/>
        <v>11771</v>
      </c>
      <c r="AE29" s="17">
        <f t="shared" si="10"/>
        <v>11419</v>
      </c>
      <c r="AF29" s="17">
        <f t="shared" si="10"/>
        <v>11496</v>
      </c>
      <c r="AG29" s="17">
        <f t="shared" si="10"/>
        <v>11464</v>
      </c>
      <c r="AH29" s="17">
        <f t="shared" si="10"/>
        <v>11629</v>
      </c>
      <c r="AI29" s="17">
        <f t="shared" si="10"/>
        <v>11583</v>
      </c>
      <c r="AJ29" s="17">
        <f t="shared" si="10"/>
        <v>11680</v>
      </c>
      <c r="AK29" s="17">
        <f t="shared" si="10"/>
        <v>11628</v>
      </c>
      <c r="AL29" s="17">
        <f t="shared" si="10"/>
        <v>11430</v>
      </c>
      <c r="AM29" s="17">
        <f t="shared" si="10"/>
        <v>11271</v>
      </c>
      <c r="AN29" s="17">
        <f t="shared" si="10"/>
        <v>11159</v>
      </c>
      <c r="AO29" s="17">
        <f t="shared" si="10"/>
        <v>10489</v>
      </c>
      <c r="AP29" s="17">
        <f t="shared" si="10"/>
        <v>9858</v>
      </c>
      <c r="AQ29" s="17">
        <f t="shared" si="10"/>
        <v>9962</v>
      </c>
      <c r="AR29" s="17">
        <f t="shared" si="10"/>
        <v>10209</v>
      </c>
      <c r="AS29" s="17">
        <f t="shared" si="10"/>
        <v>10298</v>
      </c>
      <c r="AT29" s="17">
        <f t="shared" si="10"/>
        <v>10444</v>
      </c>
      <c r="AU29" s="17">
        <f t="shared" si="10"/>
        <v>10611</v>
      </c>
      <c r="AV29" s="17">
        <f t="shared" si="10"/>
        <v>11518</v>
      </c>
      <c r="AW29" s="17">
        <f t="shared" si="10"/>
        <v>12698</v>
      </c>
      <c r="AX29" s="17">
        <f t="shared" si="10"/>
        <v>12969</v>
      </c>
      <c r="AY29" s="17">
        <f t="shared" si="10"/>
        <v>13881</v>
      </c>
      <c r="AZ29" s="17">
        <f t="shared" si="10"/>
        <v>14226</v>
      </c>
      <c r="BA29" s="17">
        <f t="shared" si="10"/>
        <v>14256</v>
      </c>
      <c r="BB29" s="17">
        <f t="shared" si="10"/>
        <v>14306</v>
      </c>
      <c r="BC29" s="17">
        <f t="shared" si="10"/>
        <v>14213</v>
      </c>
      <c r="BD29" s="17">
        <f t="shared" si="10"/>
        <v>14442</v>
      </c>
      <c r="BE29" s="17">
        <f t="shared" si="10"/>
        <v>14481</v>
      </c>
      <c r="BF29" s="17">
        <f t="shared" si="10"/>
        <v>14799</v>
      </c>
      <c r="BG29" s="17">
        <f t="shared" si="10"/>
        <v>15259</v>
      </c>
      <c r="BH29" s="17">
        <f t="shared" si="10"/>
        <v>15473</v>
      </c>
      <c r="BI29" s="17">
        <f t="shared" si="10"/>
        <v>15990</v>
      </c>
      <c r="BJ29" s="17">
        <f t="shared" ref="BJ29:BO29" si="11">BJ15+BJ22+BJ27</f>
        <v>15718</v>
      </c>
      <c r="BK29" s="17">
        <f t="shared" si="11"/>
        <v>16146</v>
      </c>
      <c r="BL29" s="17">
        <f t="shared" si="11"/>
        <v>16685</v>
      </c>
      <c r="BM29" s="17">
        <f t="shared" si="11"/>
        <v>16936</v>
      </c>
      <c r="BN29" s="17">
        <f t="shared" si="11"/>
        <v>16372</v>
      </c>
      <c r="BO29" s="17">
        <f t="shared" si="11"/>
        <v>16375</v>
      </c>
      <c r="BP29" s="17">
        <f>BP15+BP22+BP27</f>
        <v>16388</v>
      </c>
      <c r="BQ29" s="17">
        <f>BQ15+BQ22+BQ27</f>
        <v>16147</v>
      </c>
      <c r="BR29" s="17">
        <f>BR15+BR22+BR27</f>
        <v>16003</v>
      </c>
      <c r="BS29" s="17">
        <f>BS15+BS22+BS27</f>
        <v>15703</v>
      </c>
      <c r="BT29" s="17">
        <f>BT15+BT22+BT27</f>
        <v>15277</v>
      </c>
      <c r="BU29" s="12"/>
    </row>
    <row r="30" spans="1:73" ht="13.5" customHeight="1" x14ac:dyDescent="0.2">
      <c r="A30" s="11"/>
      <c r="E30" s="36"/>
      <c r="F30" s="37"/>
      <c r="G30" s="37" t="s">
        <v>81</v>
      </c>
      <c r="H30" s="37"/>
      <c r="I30" s="37"/>
      <c r="J30" s="37"/>
      <c r="K30" s="3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2"/>
    </row>
    <row r="31" spans="1:73" ht="13.5" customHeight="1" x14ac:dyDescent="0.2">
      <c r="A31" s="11"/>
      <c r="B31" s="59" t="s">
        <v>72</v>
      </c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12"/>
    </row>
    <row r="32" spans="1:73" ht="13.5" customHeight="1" x14ac:dyDescent="0.2">
      <c r="A32" s="11"/>
      <c r="D32" s="2" t="s">
        <v>62</v>
      </c>
      <c r="E32" s="36"/>
      <c r="F32" s="17"/>
      <c r="G32" s="17"/>
      <c r="H32" s="17"/>
      <c r="I32" s="17"/>
      <c r="J32" s="17"/>
      <c r="K32" s="17"/>
      <c r="L32" s="17"/>
      <c r="M32" s="17"/>
      <c r="N32" s="17"/>
      <c r="O32" s="17">
        <v>4626</v>
      </c>
      <c r="P32" s="17">
        <v>4982</v>
      </c>
      <c r="Q32" s="17">
        <v>5295</v>
      </c>
      <c r="R32" s="17">
        <v>5707</v>
      </c>
      <c r="S32" s="17"/>
      <c r="T32" s="17"/>
      <c r="U32" s="17"/>
      <c r="V32" s="17"/>
      <c r="W32" s="17"/>
      <c r="X32" s="17"/>
      <c r="Y32" s="17"/>
      <c r="Z32" s="17"/>
      <c r="AA32" s="17">
        <v>4588</v>
      </c>
      <c r="AB32" s="17">
        <v>4747</v>
      </c>
      <c r="AC32" s="17">
        <v>5038</v>
      </c>
      <c r="AD32" s="17">
        <v>5237</v>
      </c>
      <c r="AE32" s="17">
        <v>5123</v>
      </c>
      <c r="AF32" s="17">
        <v>5070</v>
      </c>
      <c r="AG32" s="17">
        <v>5022</v>
      </c>
      <c r="AH32" s="17">
        <v>5187</v>
      </c>
      <c r="AI32" s="17">
        <v>5102</v>
      </c>
      <c r="AJ32" s="17">
        <v>5040</v>
      </c>
      <c r="AK32" s="17">
        <v>5033</v>
      </c>
      <c r="AL32" s="17">
        <v>4887</v>
      </c>
      <c r="AM32" s="17">
        <v>4722</v>
      </c>
      <c r="AN32" s="17">
        <v>4591</v>
      </c>
      <c r="AO32" s="17">
        <f>382.7+100.1+9.6+2.5+2341.7+699.7+606.1+136.9+0.9+4.3+57.1+12.1</f>
        <v>4353.7000000000007</v>
      </c>
      <c r="AP32" s="17">
        <f>401.1+120.8+9+0.8+2031+678.8+528.5+136.2+1.6+0+46.5+9.8</f>
        <v>3964.1</v>
      </c>
      <c r="AQ32" s="17">
        <f>394.7+113.1+6.5+2.8+2001.9+713.2+508.3+150.2+1.6+0.8+38.9+8.1</f>
        <v>3940.1</v>
      </c>
      <c r="AR32" s="17">
        <f>436.5+126.3+11.5+3.3+2130.8+678.2+514.2+148.8+0.8+0+21.7+8.8</f>
        <v>4080.9000000000005</v>
      </c>
      <c r="AS32" s="17">
        <f>442.4+122.8+11.4+2+2167.1+672.4+553+147.6+0+0+49.8+3.9</f>
        <v>4172.3999999999996</v>
      </c>
      <c r="AT32" s="17">
        <f>463.9+118.7+10.3+4.9+2281.8+710.8+572.3+140.1+0.8+0.9+61.3+5.7</f>
        <v>4371.5000000000009</v>
      </c>
      <c r="AU32" s="17">
        <f>612.3+21.4+3002.3+681.4+7.7+143.3</f>
        <v>4468.3999999999996</v>
      </c>
      <c r="AV32" s="17">
        <f>516.1+127.6+23.5+2.5+2306.5+730.3+503.1+129.1+8.5+8.2+288.1+31.2</f>
        <v>4674.7000000000007</v>
      </c>
      <c r="AW32" s="17">
        <f>537.7+132.9+5.1+3.5+2326.9+734.5+464.5+122.1+17.8+2.5+669.5+37.4</f>
        <v>5054.4000000000005</v>
      </c>
      <c r="AX32" s="17">
        <f>560.7+149.3+12.4+4.8+2525.7+800.3+494.2+129.2+19.7+10.4+595.6+30.3</f>
        <v>5332.5999999999995</v>
      </c>
      <c r="AY32" s="17">
        <f>557.9+159.7+9.2+5.9+2766.1+930.4+503.5+149.4+13.7+8+644.9+42.6</f>
        <v>5791.2999999999993</v>
      </c>
      <c r="AZ32" s="17">
        <f>560.5+173.9+9.2+3.5+2903.6+1047.8+470.3+164.5+8+3.3+615.5+29.3</f>
        <v>5989.4000000000005</v>
      </c>
      <c r="BA32" s="17">
        <f>665.4+210.5+7.1+1+3017.5+1133.3+483.2+156.1+11.9+15.3+612.9+40.1</f>
        <v>6354.3</v>
      </c>
      <c r="BB32" s="17">
        <f>763.7+201.9+9.3+1.8+3104.1+1180.7+477+177.9+15.2+11.3+562.9+34</f>
        <v>6539.7999999999993</v>
      </c>
      <c r="BC32" s="17">
        <f>672.1+207.1+9.1+2.6+3122.2+1277.7+479.5+169.6+8.1+14.1+524.3+41.4</f>
        <v>6527.8000000000011</v>
      </c>
      <c r="BD32" s="17">
        <f>675.9+214+19.5+3.4+3053.7+1203.9+496.7+181.9+24.9+19.4+489.5+17</f>
        <v>6399.7999999999984</v>
      </c>
      <c r="BE32" s="17">
        <f>700+236.8+14+5.3+3222.7+1265.7+533.1+185.1+13.3+32.8+427.3+25.9</f>
        <v>6662</v>
      </c>
      <c r="BF32" s="17">
        <f>692.2+251.9+10.7+3.1+3493.5+1378.9+510.8+197.6+4.9+36.8+358.7+33.3</f>
        <v>6972.4</v>
      </c>
      <c r="BG32" s="17">
        <f>796.5+247.4+15.2+3.7+3639.2+1514.8+506+205.9+9.5+56.2+368.1+32.1</f>
        <v>7394.6</v>
      </c>
      <c r="BH32" s="17">
        <f>779.5+280.3+22.6+6+3685.3+1553.1+563.2+228.4+6+64.3+372.6+24.7</f>
        <v>7585.9999999999991</v>
      </c>
      <c r="BI32" s="17">
        <f>773.7+269.9+8.3+6.5+3685.7+1590.6+561.1+216.8+6.7+76.9+492.7+25.9</f>
        <v>7714.7999999999984</v>
      </c>
      <c r="BJ32" s="17">
        <f>730+302.2+9.9+1.2+3683.7+1566.9+513.5+236.7+8.9+84.1+421.4+31.1</f>
        <v>7589.5999999999995</v>
      </c>
      <c r="BK32" s="17">
        <f>724.9+304.6+7.5+2+3588.9+1575.8+486.7+226.7+9.8+163.5+455.1+29.7</f>
        <v>7575.2</v>
      </c>
      <c r="BL32" s="17">
        <f>732.4+293.9+12.9+3.2+3546.9+1545.5+462.1+214.4+26.3+101.5+829.7+28.7</f>
        <v>7797.5</v>
      </c>
      <c r="BM32" s="17">
        <f>870.9+327.7+5.9+3.7+3465.6+1552.9+444.4+196.1+49.7+68.3+981.9+23.3</f>
        <v>7990.4000000000005</v>
      </c>
      <c r="BN32" s="17">
        <f>864.9+354.7+11.1+3.2+3496+1667.6+379.9+162.4+39.7+38.2+941.4+29.7</f>
        <v>7988.7999999999984</v>
      </c>
      <c r="BO32" s="17">
        <f>815.5+360.9+8.9+3.2+3423.6+1637.9+377.9+163.9+30.2+49.9+953.7+27.4</f>
        <v>7852.9999999999982</v>
      </c>
      <c r="BP32" s="17">
        <f>785.5+387.8+8.5+3.5+3231.3+1676.6+337.2+144+52.7+47.7+1049.3+19.7</f>
        <v>7743.8</v>
      </c>
      <c r="BQ32" s="17">
        <f>722.5+312.8+12.9+3.9+3120.1+1550.3+333.9+164.1+65.1+17.1+1127.2+22.7</f>
        <v>7452.6</v>
      </c>
      <c r="BR32" s="17">
        <f>772.9+339.5+12.3+3.9+2848+1451.4+328.8+148.3+34.9+27.9+1093.5+17.2</f>
        <v>7078.5999999999995</v>
      </c>
      <c r="BS32" s="17">
        <f>764.5+352.5+9.7+3.5+2693.3+1414+289.7+134.9+22+16.5+984.5+14.9</f>
        <v>6699.9999999999991</v>
      </c>
      <c r="BT32" s="17">
        <f>822.2+395.4+13.9+10.9+2822.6+1370.6+280.7+125.9+37.1+29.9+953.5+17.5</f>
        <v>6880.2</v>
      </c>
      <c r="BU32" s="12"/>
    </row>
    <row r="33" spans="1:73" ht="13.5" customHeight="1" x14ac:dyDescent="0.2">
      <c r="A33" s="11"/>
      <c r="D33" s="2" t="s">
        <v>65</v>
      </c>
      <c r="E33" s="36"/>
      <c r="F33" s="17"/>
      <c r="G33" s="17"/>
      <c r="H33" s="17"/>
      <c r="I33" s="17"/>
      <c r="J33" s="17"/>
      <c r="K33" s="17"/>
      <c r="L33" s="17"/>
      <c r="M33" s="17"/>
      <c r="N33" s="17"/>
      <c r="O33" s="17">
        <v>456</v>
      </c>
      <c r="P33" s="17">
        <v>465</v>
      </c>
      <c r="Q33" s="17">
        <v>469</v>
      </c>
      <c r="R33" s="17">
        <v>505</v>
      </c>
      <c r="S33" s="17"/>
      <c r="T33" s="17"/>
      <c r="U33" s="17"/>
      <c r="V33" s="17"/>
      <c r="W33" s="17"/>
      <c r="X33" s="17"/>
      <c r="Y33" s="17"/>
      <c r="Z33" s="17"/>
      <c r="AA33" s="17">
        <v>1379</v>
      </c>
      <c r="AB33" s="17">
        <v>1394</v>
      </c>
      <c r="AC33" s="17">
        <v>1383</v>
      </c>
      <c r="AD33" s="17">
        <v>1405</v>
      </c>
      <c r="AE33" s="17">
        <v>1390</v>
      </c>
      <c r="AF33" s="17">
        <v>1373</v>
      </c>
      <c r="AG33" s="17">
        <v>1319</v>
      </c>
      <c r="AH33" s="17">
        <v>1257</v>
      </c>
      <c r="AI33" s="17">
        <v>1227</v>
      </c>
      <c r="AJ33" s="17">
        <v>1215</v>
      </c>
      <c r="AK33" s="17">
        <v>1198</v>
      </c>
      <c r="AL33" s="17">
        <v>1186</v>
      </c>
      <c r="AM33" s="17">
        <v>1194</v>
      </c>
      <c r="AN33" s="17">
        <v>1179</v>
      </c>
      <c r="AO33" s="17">
        <f>751+405+2+3</f>
        <v>1161</v>
      </c>
      <c r="AP33" s="17">
        <f>735+422+4+2</f>
        <v>1163</v>
      </c>
      <c r="AQ33" s="17">
        <f>776+410+4+3</f>
        <v>1193</v>
      </c>
      <c r="AR33" s="17">
        <f>795+381+4+5</f>
        <v>1185</v>
      </c>
      <c r="AS33" s="17">
        <f>795+391+9+8</f>
        <v>1203</v>
      </c>
      <c r="AT33" s="17">
        <f>841+356+6+9</f>
        <v>1212</v>
      </c>
      <c r="AU33" s="17">
        <f>900+336+12+7</f>
        <v>1255</v>
      </c>
      <c r="AV33" s="17">
        <f>983+339+13+7</f>
        <v>1342</v>
      </c>
      <c r="AW33" s="17">
        <f>962+333+16+9</f>
        <v>1320</v>
      </c>
      <c r="AX33" s="17">
        <f>978+360+18+7</f>
        <v>1363</v>
      </c>
      <c r="AY33" s="17">
        <f>1029+358+24+5</f>
        <v>1416</v>
      </c>
      <c r="AZ33" s="17">
        <f>1038+344+23+10</f>
        <v>1415</v>
      </c>
      <c r="BA33" s="17">
        <f>1061+379.3+18.9+8.8</f>
        <v>1468</v>
      </c>
      <c r="BB33" s="17">
        <f>1100.5+388.2+8.5+2.6</f>
        <v>1499.8</v>
      </c>
      <c r="BC33" s="17">
        <f>1096.5+382.1+13.4+2.9</f>
        <v>1494.9</v>
      </c>
      <c r="BD33" s="17">
        <f>1146.9+360.6+23.8+3.4</f>
        <v>1534.7</v>
      </c>
      <c r="BE33" s="17">
        <f>1205.5+332.1+11.7+5.4</f>
        <v>1554.7</v>
      </c>
      <c r="BF33" s="17">
        <f>1261.9+323.9+13.5+4.5</f>
        <v>1603.8000000000002</v>
      </c>
      <c r="BG33" s="17">
        <f>1235.5+367.3+13+2.7</f>
        <v>1618.5</v>
      </c>
      <c r="BH33" s="17">
        <f>1233.3+386.8+14.9+3.6</f>
        <v>1638.6</v>
      </c>
      <c r="BI33" s="17">
        <f>1289.8+399.8+12.3+4.9</f>
        <v>1706.8</v>
      </c>
      <c r="BJ33" s="17">
        <f>1277.4+435.4+14.9+5.3</f>
        <v>1733.0000000000002</v>
      </c>
      <c r="BK33" s="17">
        <f>1268.8+471.1+12.9+6</f>
        <v>1758.8000000000002</v>
      </c>
      <c r="BL33" s="17">
        <f>1272.6+447.6+13.2+9.5</f>
        <v>1742.8999999999999</v>
      </c>
      <c r="BM33" s="17">
        <f>1243.6+478.6+14.1+7.7</f>
        <v>1743.9999999999998</v>
      </c>
      <c r="BN33" s="17">
        <f>1237.4+467.1+19.5+13.3</f>
        <v>1737.3</v>
      </c>
      <c r="BO33" s="17">
        <f>1249+457.8+19.5+14.1</f>
        <v>1740.3999999999999</v>
      </c>
      <c r="BP33" s="17">
        <f>1219.5+471.9+19.3+9.9</f>
        <v>1720.6000000000001</v>
      </c>
      <c r="BQ33" s="17">
        <f>1218.3+508.7+17.7+4.9</f>
        <v>1749.6000000000001</v>
      </c>
      <c r="BR33" s="17">
        <f>1185.4+515.3+16.1+10.3</f>
        <v>1727.1</v>
      </c>
      <c r="BS33" s="17">
        <f>1153.9+524.3+23.7+15.8</f>
        <v>1717.7</v>
      </c>
      <c r="BT33" s="17">
        <f>1117.1+548.7+44.3+22.8</f>
        <v>1732.8999999999999</v>
      </c>
      <c r="BU33" s="12"/>
    </row>
    <row r="34" spans="1:73" ht="13.5" customHeight="1" x14ac:dyDescent="0.2">
      <c r="A34" s="11"/>
      <c r="D34" s="2" t="s">
        <v>69</v>
      </c>
      <c r="E34" s="36"/>
      <c r="F34" s="17"/>
      <c r="G34" s="17"/>
      <c r="H34" s="17"/>
      <c r="I34" s="17"/>
      <c r="J34" s="17"/>
      <c r="K34" s="17"/>
      <c r="L34" s="17"/>
      <c r="M34" s="17"/>
      <c r="N34" s="17"/>
      <c r="O34" s="18">
        <v>1089</v>
      </c>
      <c r="P34" s="18">
        <v>1100</v>
      </c>
      <c r="Q34" s="18">
        <v>1249</v>
      </c>
      <c r="R34" s="18">
        <v>1432</v>
      </c>
      <c r="S34" s="18"/>
      <c r="T34" s="18"/>
      <c r="U34" s="18"/>
      <c r="V34" s="18"/>
      <c r="W34" s="18"/>
      <c r="X34" s="18"/>
      <c r="Y34" s="18"/>
      <c r="Z34" s="18"/>
      <c r="AA34" s="18">
        <v>1266</v>
      </c>
      <c r="AB34" s="18">
        <v>1325</v>
      </c>
      <c r="AC34" s="18">
        <v>1493</v>
      </c>
      <c r="AD34" s="18">
        <v>1424</v>
      </c>
      <c r="AE34" s="18">
        <v>1357</v>
      </c>
      <c r="AF34" s="18">
        <v>1361</v>
      </c>
      <c r="AG34" s="18">
        <v>1389</v>
      </c>
      <c r="AH34" s="18">
        <v>1389</v>
      </c>
      <c r="AI34" s="18">
        <v>1360</v>
      </c>
      <c r="AJ34" s="18">
        <v>1471</v>
      </c>
      <c r="AK34" s="18">
        <v>1508</v>
      </c>
      <c r="AL34" s="18">
        <v>1535</v>
      </c>
      <c r="AM34" s="18">
        <v>1523</v>
      </c>
      <c r="AN34" s="18">
        <v>1560</v>
      </c>
      <c r="AO34" s="18">
        <f>2.3+1.8+43.4+37.9+222.3+297.5+431.5+254.1+3.8+1.8+37.4+7.5+39.9+51.6+34.8+30</f>
        <v>1497.6</v>
      </c>
      <c r="AP34" s="18">
        <f>0+0+47+26.1+222.8+278.2+390+257.3+8.7+2.3+27.2+8.7+41.5+54+34.4+35.1</f>
        <v>1433.3</v>
      </c>
      <c r="AQ34" s="18">
        <f>1.5+1.8+58.2+29.7+207.8+325.3+420.5+262.2+3+0.8+25.9+9.6+50.6+65.5+35.8+39</f>
        <v>1537.1999999999998</v>
      </c>
      <c r="AR34" s="18">
        <f>2.3+1+48.9+27.1+260+345.5+434.8+265.5+5.5+2.3+27.4+9.3+56.5+68.4+40.8+38.8</f>
        <v>1634.1</v>
      </c>
      <c r="AS34" s="18">
        <f>1.8+1+46.5+25.3+285.3+321.8+409+266.3+6.5+0.8+19.4+8.3+52.3+82.2+40.6+41.1</f>
        <v>1608.1999999999998</v>
      </c>
      <c r="AT34" s="18">
        <f>0.8+0+39.8+22.8+277.2+343.8+386.1+255.4+8.5+2.3+20+6.2+55.7+94.9+44.8+42.3</f>
        <v>1600.6000000000001</v>
      </c>
      <c r="AU34" s="18">
        <f>4.7+48.7+18.9+293.8+325.8+396.2+225.6+10.1+1.5+16.3+4.5+48.8+86.5+44.8+50.2</f>
        <v>1576.3999999999999</v>
      </c>
      <c r="AV34" s="18">
        <f>4.2+1.5+64.9+33.8+316+322.1+416.8+212.3+7+17.8+7.5+41.3+84.4+51.8+57.4</f>
        <v>1638.8</v>
      </c>
      <c r="AW34" s="18">
        <f>10.9+3+58.9+27.1+330.1+386.3+408.8+187.3+9.1+1.8+23+5.5+37.8+87.9+42.3+55.3</f>
        <v>1675.0999999999997</v>
      </c>
      <c r="AX34" s="18">
        <f>6.3+4.3+57.6+20.3+296.4+350.9+428.8+208.2+11.3+0+28.6+3.5+32.8+94.4+43.8+51</f>
        <v>1638.1999999999998</v>
      </c>
      <c r="AY34" s="18">
        <v>1794</v>
      </c>
      <c r="AZ34" s="18">
        <f>7.3+3.9+39.9+32.3+460.7+385+423.8+237.1+17.3+3.5+31+8.6+41.7+80.3+43.3+71</f>
        <v>1886.6999999999998</v>
      </c>
      <c r="BA34" s="18">
        <f>5.5+1.5+37.8+19.7+406.3+375.1+427.1+216.8+14.5+24.7+5+36.9+91.5+52.5+70.6</f>
        <v>1785.5</v>
      </c>
      <c r="BB34" s="18">
        <f>7.2+31+16+442.6+372.8+389.8+214.6+9.8+30.3+5.1+34.9+77.5+49.9+73.9</f>
        <v>1755.4</v>
      </c>
      <c r="BC34" s="18">
        <f>4.6+3.8+42.8+12.1+404.8+426.3+383.5+222.3+13.6+0.8+27.8+3.8+38.8+79.2+44.7+66.6</f>
        <v>1775.4999999999998</v>
      </c>
      <c r="BD34" s="18">
        <f>2.3+0.8+88.6+22.6+378.5+465.5+436+229+13.5+1+25.8+4.8+32.4+82.8+52.8+72.8</f>
        <v>1909.1999999999998</v>
      </c>
      <c r="BE34" s="18">
        <f>1.8+0.8+51.3+19+378.7+485.1+422.2+247+5.6+2.3+20.2+4.5+36.9+121.8+64.3+73.6+0.8</f>
        <v>1935.8999999999999</v>
      </c>
      <c r="BF34" s="18">
        <f>13.8+4.5+46.3+18.8+435.4+467.3+438.4+267.3+2.3+1.5+23.6+4.7+26.7+119.4+68.7+82.2+0.5</f>
        <v>2021.4</v>
      </c>
      <c r="BG34" s="18">
        <f>0.8+1.5+42.1+18.1+473+436.1+453.3+275.2+4.5+0.8+25.9+5.3+24.8+99.1+70.7+98.5</f>
        <v>2029.7</v>
      </c>
      <c r="BH34" s="18">
        <f>4.7+50.8+18.4+1+1.6+469.4+480.2+434.1+266.1+2.5+0.8+16+7+29.8+97.2+52.6+99.5</f>
        <v>2031.6999999999996</v>
      </c>
      <c r="BI34" s="18">
        <f>2.3+3+37.3+28.1+0.8+1.5+0.9+398.3+493.5+416.8+288.6+3.5+0.8+18.5+5.8+25.8+95+51+93.8</f>
        <v>1965.2999999999997</v>
      </c>
      <c r="BJ34" s="18">
        <f>1.8+3.1+30.9+25.3+1.5+1.5+1.8+1.5+411.9+592.6+378.4+279+2.3+22.1+4+42.3+111+59.8+98.1</f>
        <v>2068.9</v>
      </c>
      <c r="BK34" s="39">
        <f>0.8+4.3+39.3+33+0.8+1.1+1.2+384.4+791.1+327+247.4+5.8+16.9+4.3+64.8+119+75.7+101.1</f>
        <v>2218</v>
      </c>
      <c r="BL34" s="39">
        <f>2.7+6.1+20.2+20.8+0.8+0.9+1.3+1+368.1+828.1+277.9+260.2+3.8+3.8+17.4+4.3+61.8+126.8+85.3+110.9</f>
        <v>2202.2000000000003</v>
      </c>
      <c r="BM34" s="39">
        <f>3.3+0.8+13.4+15.8+1.8+0.8+1.2+0.5+350.5+736.6+287.3+255.3+1.5+1.8+10.6+3.8+70.2+127.5+83.8+113+0.5</f>
        <v>2080</v>
      </c>
      <c r="BN34" s="39">
        <f>1.7+2.5+15.6+19.3+1.5+0.8+0.6+0.5+351.4+515.8+281.8+273.4+1.5+11.9+5.8+53.8+127.9+77.5+110.5</f>
        <v>1853.8000000000002</v>
      </c>
      <c r="BO34" s="39">
        <f>2.6+2+19.3+16.2+0.8+0.7+0.1+357.2+473.6+319.3+257.7+2.3+14.1+6.2+56.6+118.2+65.7+118.1</f>
        <v>1830.6999999999998</v>
      </c>
      <c r="BP34" s="39">
        <f>3+2.3+12+11.8+0.8+1.8+363+482.5+357.7+303.7+14.6+4.8+44.8+98.8+59.6+108.8+0.8+0.6</f>
        <v>1871.3999999999996</v>
      </c>
      <c r="BQ34" s="39">
        <f>0.8+11.9+8.8+0.8+402.2+405.5+396.7+310.1+2.8+1.5+12.5+2.5+44.9+105.7+62.6+95.4+0.8+1.5+4</f>
        <v>1871.0000000000002</v>
      </c>
      <c r="BR34" s="39">
        <f>6.4+8.1+3.6+0.8+1.5+5.3+2.3+382+775+342.9+271.1+2.3+10.3+3.8+29.6+107.2+64.8+87.8</f>
        <v>2104.7999999999997</v>
      </c>
      <c r="BS34" s="39">
        <f>1.5+1.5+10.3+6.2+0.8+2.3+3.8+1.4+353.6+1037.1+305.3+288.2+0.8+1.5+9+4+36.6+87.7+63.7+83.1</f>
        <v>2298.3999999999996</v>
      </c>
      <c r="BT34" s="39">
        <f>1.8+5.1+7+2.3+3.1+6.9+2.5+356.6+896.3+275.2+256.5+3+2.3+5.1+2.1+19.3+78.5+33.7+64.4</f>
        <v>2021.6999999999998</v>
      </c>
      <c r="BU34" s="12"/>
    </row>
    <row r="35" spans="1:73" ht="13.5" customHeight="1" x14ac:dyDescent="0.2">
      <c r="A35" s="11"/>
      <c r="E35" s="36"/>
      <c r="F35" s="17"/>
      <c r="G35" s="17"/>
      <c r="H35" s="17"/>
      <c r="I35" s="17"/>
      <c r="J35" s="17"/>
      <c r="K35" s="17"/>
      <c r="L35" s="17"/>
      <c r="M35" s="17"/>
      <c r="N35" s="17"/>
      <c r="O35" s="17">
        <f>SUM(O32:O34)</f>
        <v>6171</v>
      </c>
      <c r="P35" s="17">
        <f>SUM(P32:P34)</f>
        <v>6547</v>
      </c>
      <c r="Q35" s="17">
        <f>SUM(Q32:Q34)</f>
        <v>7013</v>
      </c>
      <c r="R35" s="17">
        <f>SUM(R32:R34)</f>
        <v>7644</v>
      </c>
      <c r="S35" s="17"/>
      <c r="T35" s="17"/>
      <c r="U35" s="17"/>
      <c r="V35" s="17"/>
      <c r="W35" s="17">
        <v>8171</v>
      </c>
      <c r="X35" s="17">
        <v>8362</v>
      </c>
      <c r="Y35" s="17">
        <v>7932</v>
      </c>
      <c r="Z35" s="17">
        <v>7679</v>
      </c>
      <c r="AA35" s="17">
        <f>SUM(AA32:AA34)</f>
        <v>7233</v>
      </c>
      <c r="AB35" s="17">
        <f t="shared" ref="AB35:BL35" si="12">SUM(AB32:AB34)</f>
        <v>7466</v>
      </c>
      <c r="AC35" s="17">
        <f t="shared" si="12"/>
        <v>7914</v>
      </c>
      <c r="AD35" s="17">
        <f t="shared" si="12"/>
        <v>8066</v>
      </c>
      <c r="AE35" s="17">
        <f t="shared" si="12"/>
        <v>7870</v>
      </c>
      <c r="AF35" s="17">
        <f t="shared" si="12"/>
        <v>7804</v>
      </c>
      <c r="AG35" s="17">
        <f t="shared" si="12"/>
        <v>7730</v>
      </c>
      <c r="AH35" s="17">
        <f t="shared" si="12"/>
        <v>7833</v>
      </c>
      <c r="AI35" s="17">
        <f t="shared" si="12"/>
        <v>7689</v>
      </c>
      <c r="AJ35" s="17">
        <f t="shared" si="12"/>
        <v>7726</v>
      </c>
      <c r="AK35" s="17">
        <f t="shared" si="12"/>
        <v>7739</v>
      </c>
      <c r="AL35" s="17">
        <f t="shared" si="12"/>
        <v>7608</v>
      </c>
      <c r="AM35" s="17">
        <f t="shared" si="12"/>
        <v>7439</v>
      </c>
      <c r="AN35" s="17">
        <f t="shared" si="12"/>
        <v>7330</v>
      </c>
      <c r="AO35" s="17">
        <f>SUM(AO32:AO34)</f>
        <v>7012.3000000000011</v>
      </c>
      <c r="AP35" s="17">
        <f t="shared" si="12"/>
        <v>6560.4000000000005</v>
      </c>
      <c r="AQ35" s="17">
        <f t="shared" si="12"/>
        <v>6670.3</v>
      </c>
      <c r="AR35" s="17">
        <f t="shared" si="12"/>
        <v>6900</v>
      </c>
      <c r="AS35" s="17">
        <f t="shared" si="12"/>
        <v>6983.5999999999995</v>
      </c>
      <c r="AT35" s="17">
        <f t="shared" si="12"/>
        <v>7184.1000000000013</v>
      </c>
      <c r="AU35" s="17">
        <f t="shared" si="12"/>
        <v>7299.7999999999993</v>
      </c>
      <c r="AV35" s="17">
        <f t="shared" si="12"/>
        <v>7655.5000000000009</v>
      </c>
      <c r="AW35" s="17">
        <f t="shared" si="12"/>
        <v>8049.5</v>
      </c>
      <c r="AX35" s="17">
        <f>SUM(AX32:AX34)</f>
        <v>8333.7999999999993</v>
      </c>
      <c r="AY35" s="17">
        <f t="shared" si="12"/>
        <v>9001.2999999999993</v>
      </c>
      <c r="AZ35" s="17">
        <f t="shared" si="12"/>
        <v>9291.1</v>
      </c>
      <c r="BA35" s="17">
        <f t="shared" si="12"/>
        <v>9607.7999999999993</v>
      </c>
      <c r="BB35" s="17">
        <f t="shared" si="12"/>
        <v>9795</v>
      </c>
      <c r="BC35" s="17">
        <f t="shared" si="12"/>
        <v>9798.2000000000007</v>
      </c>
      <c r="BD35" s="17">
        <f t="shared" si="12"/>
        <v>9843.6999999999971</v>
      </c>
      <c r="BE35" s="17">
        <f t="shared" si="12"/>
        <v>10152.6</v>
      </c>
      <c r="BF35" s="17">
        <f t="shared" si="12"/>
        <v>10597.6</v>
      </c>
      <c r="BG35" s="17">
        <f t="shared" si="12"/>
        <v>11042.800000000001</v>
      </c>
      <c r="BH35" s="17">
        <f t="shared" si="12"/>
        <v>11256.299999999997</v>
      </c>
      <c r="BI35" s="17">
        <f t="shared" si="12"/>
        <v>11386.899999999998</v>
      </c>
      <c r="BJ35" s="17">
        <f t="shared" si="12"/>
        <v>11391.5</v>
      </c>
      <c r="BK35" s="17">
        <f t="shared" si="12"/>
        <v>11552</v>
      </c>
      <c r="BL35" s="17">
        <f t="shared" si="12"/>
        <v>11742.6</v>
      </c>
      <c r="BM35" s="17">
        <f t="shared" ref="BM35:BS35" si="13">SUM(BM32:BM34)</f>
        <v>11814.4</v>
      </c>
      <c r="BN35" s="17">
        <f t="shared" si="13"/>
        <v>11579.899999999998</v>
      </c>
      <c r="BO35" s="17">
        <f t="shared" si="13"/>
        <v>11424.099999999999</v>
      </c>
      <c r="BP35" s="17">
        <f t="shared" si="13"/>
        <v>11335.8</v>
      </c>
      <c r="BQ35" s="17">
        <f t="shared" si="13"/>
        <v>11073.2</v>
      </c>
      <c r="BR35" s="17">
        <f t="shared" si="13"/>
        <v>10910.499999999998</v>
      </c>
      <c r="BS35" s="17">
        <f t="shared" si="13"/>
        <v>10716.099999999999</v>
      </c>
      <c r="BT35" s="17">
        <f t="shared" ref="BT35" si="14">SUM(BT32:BT34)</f>
        <v>10634.8</v>
      </c>
      <c r="BU35" s="12"/>
    </row>
    <row r="36" spans="1:73" ht="13.5" customHeight="1" x14ac:dyDescent="0.2">
      <c r="A36" s="11"/>
      <c r="E36" s="3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2"/>
    </row>
    <row r="37" spans="1:73" ht="13.5" customHeight="1" x14ac:dyDescent="0.2">
      <c r="A37" s="11"/>
      <c r="B37" s="59" t="s">
        <v>73</v>
      </c>
      <c r="C37" s="40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12"/>
    </row>
    <row r="38" spans="1:73" ht="13.5" customHeight="1" x14ac:dyDescent="0.2">
      <c r="A38" s="11"/>
      <c r="C38" s="4" t="s">
        <v>74</v>
      </c>
      <c r="E38" s="3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2"/>
    </row>
    <row r="39" spans="1:73" ht="13.5" customHeight="1" x14ac:dyDescent="0.2">
      <c r="A39" s="11"/>
      <c r="D39" s="2" t="s">
        <v>75</v>
      </c>
      <c r="E39" s="36"/>
      <c r="F39" s="17"/>
      <c r="G39" s="17"/>
      <c r="H39" s="17"/>
      <c r="I39" s="17"/>
      <c r="J39" s="17"/>
      <c r="K39" s="17"/>
      <c r="L39" s="17"/>
      <c r="M39" s="17"/>
      <c r="N39" s="17"/>
      <c r="O39" s="17">
        <v>7447</v>
      </c>
      <c r="P39" s="17">
        <v>7958</v>
      </c>
      <c r="Q39" s="17">
        <v>8566</v>
      </c>
      <c r="R39" s="17">
        <v>9336</v>
      </c>
      <c r="S39" s="17"/>
      <c r="T39" s="17"/>
      <c r="U39" s="17"/>
      <c r="V39" s="17"/>
      <c r="W39" s="17"/>
      <c r="X39" s="17">
        <v>11983</v>
      </c>
      <c r="Y39" s="17">
        <v>11052</v>
      </c>
      <c r="Z39" s="17">
        <v>10776</v>
      </c>
      <c r="AA39" s="17">
        <v>10111</v>
      </c>
      <c r="AB39" s="17">
        <v>10585</v>
      </c>
      <c r="AC39" s="17">
        <v>11283</v>
      </c>
      <c r="AD39" s="17">
        <v>11641</v>
      </c>
      <c r="AE39" s="17">
        <v>11235</v>
      </c>
      <c r="AF39" s="17">
        <v>11243</v>
      </c>
      <c r="AG39" s="17">
        <v>11218</v>
      </c>
      <c r="AH39" s="17">
        <v>11460</v>
      </c>
      <c r="AI39" s="17">
        <v>11383</v>
      </c>
      <c r="AJ39" s="17">
        <v>11419</v>
      </c>
      <c r="AK39" s="17">
        <v>11327</v>
      </c>
      <c r="AL39" s="17">
        <v>11275</v>
      </c>
      <c r="AM39" s="17">
        <v>11124</v>
      </c>
      <c r="AN39" s="17">
        <v>10881</v>
      </c>
      <c r="AO39" s="17">
        <v>10206</v>
      </c>
      <c r="AP39" s="17">
        <v>9581</v>
      </c>
      <c r="AQ39" s="17">
        <v>9749</v>
      </c>
      <c r="AR39" s="17">
        <v>10057</v>
      </c>
      <c r="AS39" s="17">
        <v>10050</v>
      </c>
      <c r="AT39" s="17">
        <v>10139</v>
      </c>
      <c r="AU39" s="17">
        <v>10184</v>
      </c>
      <c r="AV39" s="17">
        <v>10482</v>
      </c>
      <c r="AW39" s="17">
        <v>10363</v>
      </c>
      <c r="AX39" s="17">
        <v>10819</v>
      </c>
      <c r="AY39" s="17">
        <v>11567</v>
      </c>
      <c r="AZ39" s="17">
        <v>11842</v>
      </c>
      <c r="BA39" s="17">
        <v>11940</v>
      </c>
      <c r="BB39" s="17">
        <v>12116</v>
      </c>
      <c r="BC39" s="17">
        <v>12096</v>
      </c>
      <c r="BD39" s="17">
        <v>12359</v>
      </c>
      <c r="BE39" s="17">
        <v>12814</v>
      </c>
      <c r="BF39" s="17">
        <v>13416</v>
      </c>
      <c r="BG39" s="17">
        <v>13858</v>
      </c>
      <c r="BH39" s="17">
        <v>13892</v>
      </c>
      <c r="BI39" s="17">
        <v>13942</v>
      </c>
      <c r="BJ39" s="17">
        <v>14002</v>
      </c>
      <c r="BK39" s="17">
        <v>14195</v>
      </c>
      <c r="BL39" s="17">
        <v>13761</v>
      </c>
      <c r="BM39" s="17">
        <v>13469</v>
      </c>
      <c r="BN39" s="17">
        <v>13208</v>
      </c>
      <c r="BO39" s="17">
        <v>13044</v>
      </c>
      <c r="BP39" s="17">
        <v>12793</v>
      </c>
      <c r="BQ39" s="17">
        <v>12441</v>
      </c>
      <c r="BR39" s="17">
        <v>12257</v>
      </c>
      <c r="BS39" s="17">
        <v>12172</v>
      </c>
      <c r="BT39" s="17">
        <v>11959</v>
      </c>
      <c r="BU39" s="12"/>
    </row>
    <row r="40" spans="1:73" ht="13.5" customHeight="1" x14ac:dyDescent="0.2">
      <c r="A40" s="11"/>
      <c r="D40" s="2" t="s">
        <v>90</v>
      </c>
      <c r="E40" s="3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>
        <v>8155</v>
      </c>
      <c r="X40" s="17">
        <v>8315</v>
      </c>
      <c r="Y40" s="17">
        <v>7875</v>
      </c>
      <c r="Z40" s="17">
        <v>7621</v>
      </c>
      <c r="AA40" s="17">
        <v>7181</v>
      </c>
      <c r="AB40" s="17">
        <v>7405</v>
      </c>
      <c r="AC40" s="17">
        <v>7815</v>
      </c>
      <c r="AD40" s="17">
        <v>7933</v>
      </c>
      <c r="AE40" s="17">
        <v>7727</v>
      </c>
      <c r="AF40" s="17">
        <v>7642</v>
      </c>
      <c r="AG40" s="17">
        <v>7606</v>
      </c>
      <c r="AH40" s="17">
        <v>7736</v>
      </c>
      <c r="AI40" s="17">
        <v>7639</v>
      </c>
      <c r="AJ40" s="17">
        <v>7664</v>
      </c>
      <c r="AK40" s="17">
        <v>7666</v>
      </c>
      <c r="AL40" s="17">
        <v>7571</v>
      </c>
      <c r="AM40" s="17">
        <v>7407</v>
      </c>
      <c r="AN40" s="17">
        <v>7275</v>
      </c>
      <c r="AO40" s="17">
        <v>6956.6</v>
      </c>
      <c r="AP40" s="17">
        <v>6510.4</v>
      </c>
      <c r="AQ40" s="17">
        <v>6628.4</v>
      </c>
      <c r="AR40" s="17">
        <v>6880.2</v>
      </c>
      <c r="AS40" s="17">
        <v>6925.1</v>
      </c>
      <c r="AT40" s="17">
        <v>7117.7</v>
      </c>
      <c r="AU40" s="17">
        <v>7204.6</v>
      </c>
      <c r="AV40" s="17">
        <v>7426.6</v>
      </c>
      <c r="AW40" s="17">
        <v>7435.4</v>
      </c>
      <c r="AX40" s="17">
        <v>7782</v>
      </c>
      <c r="AY40" s="17">
        <v>8395.2000000000007</v>
      </c>
      <c r="AZ40" s="17">
        <v>8724.2000000000007</v>
      </c>
      <c r="BA40" s="17">
        <v>9028</v>
      </c>
      <c r="BB40" s="17">
        <v>9259</v>
      </c>
      <c r="BC40" s="17">
        <v>9287.6</v>
      </c>
      <c r="BD40" s="17">
        <v>9268.7999999999993</v>
      </c>
      <c r="BE40" s="17">
        <v>9729.9</v>
      </c>
      <c r="BF40" s="17">
        <v>10258.5</v>
      </c>
      <c r="BG40" s="17">
        <v>10693.7</v>
      </c>
      <c r="BH40" s="17">
        <v>10763.1</v>
      </c>
      <c r="BI40" s="17">
        <v>10774.8</v>
      </c>
      <c r="BJ40" s="17">
        <v>10869.7</v>
      </c>
      <c r="BK40" s="17">
        <v>11061.4</v>
      </c>
      <c r="BL40" s="17">
        <v>10889.5</v>
      </c>
      <c r="BM40" s="17">
        <v>10821</v>
      </c>
      <c r="BN40" s="17">
        <v>10669.3</v>
      </c>
      <c r="BO40" s="17">
        <v>10501</v>
      </c>
      <c r="BP40" s="17">
        <v>10301.200000000001</v>
      </c>
      <c r="BQ40" s="17">
        <v>9940.2999999999993</v>
      </c>
      <c r="BR40" s="17">
        <v>9820.7999999999993</v>
      </c>
      <c r="BS40" s="17">
        <v>9759.2999999999993</v>
      </c>
      <c r="BT40" s="17">
        <v>9707.1</v>
      </c>
      <c r="BU40" s="12"/>
    </row>
    <row r="41" spans="1:73" ht="13.5" customHeight="1" x14ac:dyDescent="0.2">
      <c r="A41" s="11"/>
      <c r="C41" s="4" t="s">
        <v>76</v>
      </c>
      <c r="E41" s="3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2"/>
    </row>
    <row r="42" spans="1:73" ht="13.5" customHeight="1" x14ac:dyDescent="0.2">
      <c r="A42" s="11"/>
      <c r="D42" s="2" t="s">
        <v>75</v>
      </c>
      <c r="E42" s="36"/>
      <c r="F42" s="17"/>
      <c r="G42" s="17"/>
      <c r="H42" s="17"/>
      <c r="I42" s="17"/>
      <c r="J42" s="17"/>
      <c r="K42" s="17"/>
      <c r="L42" s="17"/>
      <c r="M42" s="17"/>
      <c r="N42" s="17"/>
      <c r="O42" s="17">
        <v>444</v>
      </c>
      <c r="P42" s="17">
        <v>460</v>
      </c>
      <c r="Q42" s="17">
        <v>437</v>
      </c>
      <c r="R42" s="17">
        <v>338</v>
      </c>
      <c r="S42" s="17"/>
      <c r="T42" s="17"/>
      <c r="U42" s="17"/>
      <c r="V42" s="17"/>
      <c r="W42" s="17"/>
      <c r="X42" s="17">
        <v>0</v>
      </c>
      <c r="Y42" s="17">
        <v>205</v>
      </c>
      <c r="Z42" s="17">
        <f>47+167</f>
        <v>214</v>
      </c>
      <c r="AA42" s="17">
        <v>201</v>
      </c>
      <c r="AB42" s="17">
        <v>239</v>
      </c>
      <c r="AC42" s="17">
        <v>163</v>
      </c>
      <c r="AD42" s="17">
        <v>130</v>
      </c>
      <c r="AE42" s="17">
        <v>184</v>
      </c>
      <c r="AF42" s="17">
        <v>253</v>
      </c>
      <c r="AG42" s="17">
        <v>246</v>
      </c>
      <c r="AH42" s="17">
        <v>169</v>
      </c>
      <c r="AI42" s="17">
        <v>200</v>
      </c>
      <c r="AJ42" s="17">
        <v>261</v>
      </c>
      <c r="AK42" s="17">
        <v>301</v>
      </c>
      <c r="AL42" s="17">
        <v>155</v>
      </c>
      <c r="AM42" s="17">
        <v>147</v>
      </c>
      <c r="AN42" s="17">
        <v>278</v>
      </c>
      <c r="AO42" s="17">
        <v>283</v>
      </c>
      <c r="AP42" s="17">
        <v>277</v>
      </c>
      <c r="AQ42" s="17">
        <v>213</v>
      </c>
      <c r="AR42" s="17">
        <v>152</v>
      </c>
      <c r="AS42" s="17">
        <v>248</v>
      </c>
      <c r="AT42" s="17">
        <v>305</v>
      </c>
      <c r="AU42" s="17">
        <v>426</v>
      </c>
      <c r="AV42" s="17">
        <v>1036</v>
      </c>
      <c r="AW42" s="17">
        <v>2335</v>
      </c>
      <c r="AX42" s="17">
        <v>2150</v>
      </c>
      <c r="AY42" s="17">
        <v>2314</v>
      </c>
      <c r="AZ42" s="17">
        <v>2384</v>
      </c>
      <c r="BA42" s="17">
        <v>2316</v>
      </c>
      <c r="BB42" s="17">
        <v>2190</v>
      </c>
      <c r="BC42" s="17">
        <v>2117</v>
      </c>
      <c r="BD42" s="17">
        <v>2083</v>
      </c>
      <c r="BE42" s="17">
        <v>1667</v>
      </c>
      <c r="BF42" s="17">
        <v>1383</v>
      </c>
      <c r="BG42" s="17">
        <v>1401</v>
      </c>
      <c r="BH42" s="17">
        <v>1581</v>
      </c>
      <c r="BI42" s="17">
        <v>2048</v>
      </c>
      <c r="BJ42" s="17">
        <v>1716</v>
      </c>
      <c r="BK42" s="17">
        <v>1951</v>
      </c>
      <c r="BL42" s="17">
        <v>2924</v>
      </c>
      <c r="BM42" s="17">
        <v>3467</v>
      </c>
      <c r="BN42" s="17">
        <v>3164</v>
      </c>
      <c r="BO42" s="17">
        <v>3331</v>
      </c>
      <c r="BP42" s="17">
        <v>3595</v>
      </c>
      <c r="BQ42" s="17">
        <v>3706</v>
      </c>
      <c r="BR42" s="17">
        <v>3746</v>
      </c>
      <c r="BS42" s="17">
        <v>3531</v>
      </c>
      <c r="BT42" s="17">
        <v>3318</v>
      </c>
      <c r="BU42" s="12"/>
    </row>
    <row r="43" spans="1:73" ht="13.5" customHeight="1" x14ac:dyDescent="0.2">
      <c r="A43" s="11"/>
      <c r="D43" s="2" t="s">
        <v>90</v>
      </c>
      <c r="E43" s="3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>
        <v>16</v>
      </c>
      <c r="X43" s="17">
        <v>47</v>
      </c>
      <c r="Y43" s="17">
        <v>57</v>
      </c>
      <c r="Z43" s="17">
        <v>58</v>
      </c>
      <c r="AA43" s="17">
        <v>52</v>
      </c>
      <c r="AB43" s="17">
        <v>61</v>
      </c>
      <c r="AC43" s="17">
        <v>99</v>
      </c>
      <c r="AD43" s="17">
        <v>133</v>
      </c>
      <c r="AE43" s="17">
        <v>143</v>
      </c>
      <c r="AF43" s="17">
        <v>162</v>
      </c>
      <c r="AG43" s="17">
        <v>124</v>
      </c>
      <c r="AH43" s="17">
        <v>97</v>
      </c>
      <c r="AI43" s="17">
        <v>50</v>
      </c>
      <c r="AJ43" s="17">
        <v>62</v>
      </c>
      <c r="AK43" s="17">
        <v>73</v>
      </c>
      <c r="AL43" s="17">
        <v>37</v>
      </c>
      <c r="AM43" s="17">
        <v>33</v>
      </c>
      <c r="AN43" s="17">
        <v>56</v>
      </c>
      <c r="AO43" s="17">
        <v>55.4</v>
      </c>
      <c r="AP43" s="17">
        <v>49.8</v>
      </c>
      <c r="AQ43" s="17">
        <v>41.7</v>
      </c>
      <c r="AR43" s="17">
        <v>19.7</v>
      </c>
      <c r="AS43" s="17">
        <v>58.2</v>
      </c>
      <c r="AT43" s="17">
        <v>66</v>
      </c>
      <c r="AU43" s="17">
        <v>95</v>
      </c>
      <c r="AV43" s="17">
        <v>228.8</v>
      </c>
      <c r="AW43" s="17">
        <v>614</v>
      </c>
      <c r="AX43" s="17">
        <v>551.6</v>
      </c>
      <c r="AY43" s="17">
        <v>609.79999999999995</v>
      </c>
      <c r="AZ43" s="17">
        <v>566.70000000000005</v>
      </c>
      <c r="BA43" s="17">
        <v>580</v>
      </c>
      <c r="BB43" s="17">
        <v>537</v>
      </c>
      <c r="BC43" s="17">
        <v>510.2</v>
      </c>
      <c r="BD43" s="17">
        <v>575</v>
      </c>
      <c r="BE43" s="17">
        <v>422.5</v>
      </c>
      <c r="BF43" s="17">
        <v>339</v>
      </c>
      <c r="BG43" s="17">
        <v>349.1</v>
      </c>
      <c r="BH43" s="17">
        <v>492.7</v>
      </c>
      <c r="BI43" s="17">
        <v>611.9</v>
      </c>
      <c r="BJ43" s="17">
        <v>521.6</v>
      </c>
      <c r="BK43" s="17">
        <v>490.5</v>
      </c>
      <c r="BL43" s="17">
        <v>853</v>
      </c>
      <c r="BM43" s="17">
        <v>993.2</v>
      </c>
      <c r="BN43" s="17">
        <v>910.8</v>
      </c>
      <c r="BO43" s="17">
        <v>922.9</v>
      </c>
      <c r="BP43" s="17">
        <v>1034.3</v>
      </c>
      <c r="BQ43" s="17">
        <v>1132.5999999999999</v>
      </c>
      <c r="BR43" s="17">
        <v>1089.7</v>
      </c>
      <c r="BS43" s="17">
        <v>956.8</v>
      </c>
      <c r="BT43" s="17">
        <v>927.5</v>
      </c>
      <c r="BU43" s="12"/>
    </row>
    <row r="44" spans="1:73" ht="13.5" customHeight="1" x14ac:dyDescent="0.2">
      <c r="A44" s="11"/>
      <c r="B44" s="20"/>
      <c r="C44" s="20"/>
      <c r="D44" s="20"/>
      <c r="E44" s="3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12"/>
    </row>
    <row r="45" spans="1:73" ht="13.5" customHeight="1" x14ac:dyDescent="0.2">
      <c r="A45" s="11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12"/>
    </row>
    <row r="46" spans="1:73" ht="13.5" customHeight="1" x14ac:dyDescent="0.2">
      <c r="A46" s="23"/>
      <c r="B46" s="72" t="s">
        <v>89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24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 t="s">
        <v>112</v>
      </c>
      <c r="BU46" s="26"/>
    </row>
    <row r="48" spans="1:73" ht="13.5" customHeight="1" x14ac:dyDescent="0.2">
      <c r="BF48" s="22"/>
    </row>
  </sheetData>
  <mergeCells count="2">
    <mergeCell ref="A2:BU2"/>
    <mergeCell ref="B46:BH46"/>
  </mergeCells>
  <hyperlinks>
    <hyperlink ref="B46" r:id="rId1" display="Source: IPEDS EF and DHE 02" xr:uid="{7987CE89-4B0F-44DC-B67F-FE2F78BF3E57}"/>
    <hyperlink ref="B46:D46" r:id="rId2" display="Source: DHE 02, Fall Enrollment Supplement" xr:uid="{0A81B88E-5E53-4C2D-8770-7E16DF72988C}"/>
    <hyperlink ref="B46:BH46" r:id="rId3" display="Source: DHE 02, Fall Enrollment Supplement" xr:uid="{3FB9382D-2F73-44B8-8B34-F1E1FCC39B78}"/>
  </hyperlinks>
  <printOptions horizontalCentered="1"/>
  <pageMargins left="0.7" right="0.45" top="0.5" bottom="0.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W40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6" width="8.7109375" style="2" hidden="1" customWidth="1"/>
    <col min="67" max="72" width="8.7109375" style="2" customWidth="1"/>
    <col min="73" max="73" width="2.7109375" style="2" customWidth="1"/>
    <col min="74" max="16384" width="9.140625" style="1"/>
  </cols>
  <sheetData>
    <row r="2" spans="1:75" ht="15" customHeight="1" x14ac:dyDescent="0.25">
      <c r="A2" s="6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7"/>
    </row>
    <row r="3" spans="1:75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5"/>
    </row>
    <row r="4" spans="1:75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5"/>
    </row>
    <row r="5" spans="1:75" ht="15" customHeight="1" x14ac:dyDescent="0.25">
      <c r="A5" s="11"/>
      <c r="B5" s="8" t="s">
        <v>82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5"/>
    </row>
    <row r="6" spans="1:75" ht="13.5" customHeight="1" thickBot="1" x14ac:dyDescent="0.25">
      <c r="A6" s="11"/>
      <c r="BU6" s="12"/>
    </row>
    <row r="7" spans="1:75" ht="13.5" customHeight="1" thickTop="1" x14ac:dyDescent="0.2">
      <c r="A7" s="11"/>
      <c r="B7" s="13"/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14" t="s">
        <v>39</v>
      </c>
      <c r="AP7" s="14" t="s">
        <v>40</v>
      </c>
      <c r="AQ7" s="14" t="s">
        <v>41</v>
      </c>
      <c r="AR7" s="14" t="s">
        <v>42</v>
      </c>
      <c r="AS7" s="14" t="s">
        <v>43</v>
      </c>
      <c r="AT7" s="14" t="s">
        <v>44</v>
      </c>
      <c r="AU7" s="14" t="s">
        <v>45</v>
      </c>
      <c r="AV7" s="14" t="s">
        <v>46</v>
      </c>
      <c r="AW7" s="14" t="s">
        <v>47</v>
      </c>
      <c r="AX7" s="14" t="s">
        <v>48</v>
      </c>
      <c r="AY7" s="14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2"/>
    </row>
    <row r="8" spans="1:75" ht="13.5" customHeight="1" x14ac:dyDescent="0.2">
      <c r="A8" s="11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17"/>
      <c r="BE8" s="17"/>
      <c r="BF8" s="17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12"/>
    </row>
    <row r="9" spans="1:75" ht="13.5" customHeight="1" x14ac:dyDescent="0.2">
      <c r="A9" s="11"/>
      <c r="B9" s="60" t="s">
        <v>61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5"/>
      <c r="BE9" s="45"/>
      <c r="BF9" s="45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12"/>
    </row>
    <row r="10" spans="1:75" ht="13.5" customHeight="1" x14ac:dyDescent="0.2">
      <c r="A10" s="11"/>
      <c r="C10" s="4" t="s">
        <v>62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2"/>
    </row>
    <row r="11" spans="1:75" ht="13.5" customHeight="1" x14ac:dyDescent="0.2">
      <c r="A11" s="11"/>
      <c r="D11" s="2" t="s">
        <v>91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f>1004+8</f>
        <v>1012</v>
      </c>
      <c r="P11" s="17">
        <f>1063+11</f>
        <v>1074</v>
      </c>
      <c r="Q11" s="17">
        <f>1029+26</f>
        <v>1055</v>
      </c>
      <c r="R11" s="17">
        <f>1054+35</f>
        <v>1089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915</v>
      </c>
      <c r="AH11" s="17">
        <v>863</v>
      </c>
      <c r="AI11" s="17">
        <v>760</v>
      </c>
      <c r="AJ11" s="17">
        <v>851</v>
      </c>
      <c r="AK11" s="17">
        <v>848</v>
      </c>
      <c r="AL11" s="17">
        <v>832</v>
      </c>
      <c r="AM11" s="17">
        <v>733</v>
      </c>
      <c r="AN11" s="17">
        <v>734</v>
      </c>
      <c r="AO11" s="17">
        <f>588+220+12+1</f>
        <v>821</v>
      </c>
      <c r="AP11" s="17">
        <v>800</v>
      </c>
      <c r="AQ11" s="17">
        <f>540+244+21+0</f>
        <v>805</v>
      </c>
      <c r="AR11" s="17">
        <f>535+272+9+3</f>
        <v>819</v>
      </c>
      <c r="AS11" s="17">
        <f>500+279+6+4</f>
        <v>789</v>
      </c>
      <c r="AT11" s="17">
        <f>507+186+8+5</f>
        <v>706</v>
      </c>
      <c r="AU11" s="17">
        <f>496+225+7+5</f>
        <v>733</v>
      </c>
      <c r="AV11" s="17">
        <f>508+172+5+3</f>
        <v>688</v>
      </c>
      <c r="AW11" s="17">
        <f>502+172+5+1</f>
        <v>680</v>
      </c>
      <c r="AX11" s="17">
        <f>530+163+4+5</f>
        <v>702</v>
      </c>
      <c r="AY11" s="17">
        <f>594+194+6+1</f>
        <v>795</v>
      </c>
      <c r="AZ11" s="17">
        <f>689+182+4+3</f>
        <v>878</v>
      </c>
      <c r="BA11" s="17">
        <f>651+188+2+1</f>
        <v>842</v>
      </c>
      <c r="BB11" s="17">
        <f>684+195+2+3</f>
        <v>884</v>
      </c>
      <c r="BC11" s="17">
        <f>752+183+3+24</f>
        <v>962</v>
      </c>
      <c r="BD11" s="17">
        <f>799+229+10+3</f>
        <v>1041</v>
      </c>
      <c r="BE11" s="17">
        <f>825+213+4+3</f>
        <v>1045</v>
      </c>
      <c r="BF11" s="17">
        <f>886+218+3+1</f>
        <v>1108</v>
      </c>
      <c r="BG11" s="17">
        <f>915+225+3+6</f>
        <v>1149</v>
      </c>
      <c r="BH11" s="17">
        <f>868+222+2+4</f>
        <v>1096</v>
      </c>
      <c r="BI11" s="17">
        <f>856+263+5</f>
        <v>1124</v>
      </c>
      <c r="BJ11" s="17">
        <f>999+245+2+16</f>
        <v>1262</v>
      </c>
      <c r="BK11" s="17">
        <f>1041+232+3+12</f>
        <v>1288</v>
      </c>
      <c r="BL11" s="17">
        <f>1203+271+6+7</f>
        <v>1487</v>
      </c>
      <c r="BM11" s="17">
        <f>1211+255+9+3</f>
        <v>1478</v>
      </c>
      <c r="BN11" s="17">
        <f>1205+209+11+1</f>
        <v>1426</v>
      </c>
      <c r="BO11" s="17">
        <f>1100+209+11+5</f>
        <v>1325</v>
      </c>
      <c r="BP11" s="17">
        <f>942+198+5</f>
        <v>1145</v>
      </c>
      <c r="BQ11" s="17">
        <f>889+210+11+1</f>
        <v>1111</v>
      </c>
      <c r="BR11" s="17">
        <f>927+253+8</f>
        <v>1188</v>
      </c>
      <c r="BS11" s="17">
        <f>861+275+8+2</f>
        <v>1146</v>
      </c>
      <c r="BT11" s="17">
        <f>890+297+8+1</f>
        <v>1196</v>
      </c>
      <c r="BU11" s="12"/>
      <c r="BW11" s="66"/>
    </row>
    <row r="12" spans="1:75" ht="13.5" customHeight="1" x14ac:dyDescent="0.2">
      <c r="A12" s="11"/>
      <c r="D12" s="2" t="s">
        <v>63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4831</v>
      </c>
      <c r="AH12" s="17">
        <f>1111+3134+2</f>
        <v>4247</v>
      </c>
      <c r="AI12" s="17">
        <v>3872</v>
      </c>
      <c r="AJ12" s="17">
        <v>3524</v>
      </c>
      <c r="AK12" s="17">
        <v>3319</v>
      </c>
      <c r="AL12" s="17">
        <v>3264</v>
      </c>
      <c r="AM12" s="17"/>
      <c r="AN12" s="17"/>
      <c r="AO12" s="17">
        <f>2460+554+379+48</f>
        <v>3441</v>
      </c>
      <c r="AP12" s="17">
        <f>2536+590+335+56</f>
        <v>3517</v>
      </c>
      <c r="AQ12" s="17">
        <f>2388+654+392+64</f>
        <v>3498</v>
      </c>
      <c r="AR12" s="17">
        <f>2342+717+325+75</f>
        <v>3459</v>
      </c>
      <c r="AS12" s="17">
        <f>2296+751+340+84</f>
        <v>3471</v>
      </c>
      <c r="AT12" s="17">
        <f>2059+822+368+79</f>
        <v>3328</v>
      </c>
      <c r="AU12" s="17">
        <f>2077+768+322+75</f>
        <v>3242</v>
      </c>
      <c r="AV12" s="17">
        <f>2036+693+318+76</f>
        <v>3123</v>
      </c>
      <c r="AW12" s="17">
        <f>2017+604+258+60</f>
        <v>2939</v>
      </c>
      <c r="AX12" s="17">
        <f>2078+564+273+59</f>
        <v>2974</v>
      </c>
      <c r="AY12" s="17">
        <f>2103+576+262+42</f>
        <v>2983</v>
      </c>
      <c r="AZ12" s="17">
        <f>2244+552+239+35</f>
        <v>3070</v>
      </c>
      <c r="BA12" s="17">
        <f>2342+548+252+34</f>
        <v>3176</v>
      </c>
      <c r="BB12" s="17">
        <f>2446+557+290+42</f>
        <v>3335</v>
      </c>
      <c r="BC12" s="17">
        <f>2570+587+293+53</f>
        <v>3503</v>
      </c>
      <c r="BD12" s="17">
        <f>2731+614+275+44</f>
        <v>3664</v>
      </c>
      <c r="BE12" s="17">
        <f>2837+665+282+46</f>
        <v>3830</v>
      </c>
      <c r="BF12" s="17">
        <f>2994+704+291+48</f>
        <v>4037</v>
      </c>
      <c r="BG12" s="17">
        <f>3074+776+361+97</f>
        <v>4308</v>
      </c>
      <c r="BH12" s="17">
        <f>3225+818+361+104</f>
        <v>4508</v>
      </c>
      <c r="BI12" s="17">
        <f>3297+812+419+100</f>
        <v>4628</v>
      </c>
      <c r="BJ12" s="17">
        <f>3371+819+454+158</f>
        <v>4802</v>
      </c>
      <c r="BK12" s="17">
        <f>3598+874+484+174</f>
        <v>5130</v>
      </c>
      <c r="BL12" s="17">
        <f>3774+849+495+142</f>
        <v>5260</v>
      </c>
      <c r="BM12" s="17">
        <f>3961+774+537+107</f>
        <v>5379</v>
      </c>
      <c r="BN12" s="17">
        <f>4003+697+638+108</f>
        <v>5446</v>
      </c>
      <c r="BO12" s="17">
        <f>4099+635+633+93</f>
        <v>5460</v>
      </c>
      <c r="BP12" s="17">
        <f>3899+624+656+72</f>
        <v>5251</v>
      </c>
      <c r="BQ12" s="17">
        <f>3745+562+566+66</f>
        <v>4939</v>
      </c>
      <c r="BR12" s="17">
        <f>3304+570+551+55</f>
        <v>4480</v>
      </c>
      <c r="BS12" s="17">
        <f>3126+618+516+47</f>
        <v>4307</v>
      </c>
      <c r="BT12" s="17">
        <f>3050+709+447+65</f>
        <v>4271</v>
      </c>
      <c r="BU12" s="12"/>
    </row>
    <row r="13" spans="1:75" ht="13.5" customHeight="1" x14ac:dyDescent="0.2">
      <c r="A13" s="11"/>
      <c r="D13" s="2" t="s">
        <v>92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2"/>
    </row>
    <row r="14" spans="1:75" ht="13.5" customHeight="1" x14ac:dyDescent="0.2">
      <c r="A14" s="11"/>
      <c r="D14" s="2" t="s">
        <v>64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0</v>
      </c>
      <c r="AH14" s="18">
        <v>0</v>
      </c>
      <c r="AI14" s="18">
        <v>272</v>
      </c>
      <c r="AJ14" s="18">
        <v>130</v>
      </c>
      <c r="AK14" s="18">
        <v>192</v>
      </c>
      <c r="AL14" s="18">
        <v>208</v>
      </c>
      <c r="AM14" s="18"/>
      <c r="AN14" s="18"/>
      <c r="AO14" s="18">
        <f>19+0+136+17</f>
        <v>172</v>
      </c>
      <c r="AP14" s="18">
        <f>11+2+136+21</f>
        <v>170</v>
      </c>
      <c r="AQ14" s="18">
        <f>4+0+112+19</f>
        <v>135</v>
      </c>
      <c r="AR14" s="18">
        <f>1+0+97+10</f>
        <v>108</v>
      </c>
      <c r="AS14" s="18">
        <f>2+0+75+5</f>
        <v>82</v>
      </c>
      <c r="AT14" s="18">
        <f>1+3+63+11</f>
        <v>78</v>
      </c>
      <c r="AU14" s="18">
        <f>7+0+71+6</f>
        <v>84</v>
      </c>
      <c r="AV14" s="18">
        <f>3+6+47+15</f>
        <v>71</v>
      </c>
      <c r="AW14" s="18">
        <f>3+0+56+20</f>
        <v>79</v>
      </c>
      <c r="AX14" s="18">
        <f>2+9+43+26</f>
        <v>80</v>
      </c>
      <c r="AY14" s="18">
        <f>6+0+47+18</f>
        <v>71</v>
      </c>
      <c r="AZ14" s="18">
        <f>4+6+95+36</f>
        <v>141</v>
      </c>
      <c r="BA14" s="18">
        <f>4+4+81+12</f>
        <v>101</v>
      </c>
      <c r="BB14" s="18">
        <f>6+4+65+17</f>
        <v>92</v>
      </c>
      <c r="BC14" s="18">
        <f>6+41+3</f>
        <v>50</v>
      </c>
      <c r="BD14" s="18">
        <f>1+1+38+7</f>
        <v>47</v>
      </c>
      <c r="BE14" s="18">
        <f>4+4+22+6</f>
        <v>36</v>
      </c>
      <c r="BF14" s="18">
        <f>1+10+38+12</f>
        <v>61</v>
      </c>
      <c r="BG14" s="18">
        <f>5+34+7</f>
        <v>46</v>
      </c>
      <c r="BH14" s="18">
        <f>1+9+47+10</f>
        <v>67</v>
      </c>
      <c r="BI14" s="18">
        <f>1+31+51+6</f>
        <v>89</v>
      </c>
      <c r="BJ14" s="18">
        <f>3+35+40+3</f>
        <v>81</v>
      </c>
      <c r="BK14" s="18">
        <f>6+74+20+2</f>
        <v>102</v>
      </c>
      <c r="BL14" s="18">
        <f>6+65+21</f>
        <v>92</v>
      </c>
      <c r="BM14" s="18">
        <f>4+10+34+1</f>
        <v>49</v>
      </c>
      <c r="BN14" s="18">
        <f>2+12+32+1</f>
        <v>47</v>
      </c>
      <c r="BO14" s="18">
        <f>11+11+34+2</f>
        <v>58</v>
      </c>
      <c r="BP14" s="18">
        <f>8+21+24+5</f>
        <v>58</v>
      </c>
      <c r="BQ14" s="67">
        <f>5+1+25+2</f>
        <v>33</v>
      </c>
      <c r="BR14" s="67">
        <f>5+21+2</f>
        <v>28</v>
      </c>
      <c r="BS14" s="67">
        <f>5+35+5</f>
        <v>45</v>
      </c>
      <c r="BT14" s="67">
        <f>8+33+2</f>
        <v>43</v>
      </c>
      <c r="BU14" s="12"/>
    </row>
    <row r="15" spans="1:75" ht="13.5" customHeight="1" x14ac:dyDescent="0.2">
      <c r="A15" s="1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3977</v>
      </c>
      <c r="P15" s="17">
        <v>4216</v>
      </c>
      <c r="Q15" s="17">
        <v>4475</v>
      </c>
      <c r="R15" s="17">
        <v>4567</v>
      </c>
      <c r="S15" s="17">
        <v>4523</v>
      </c>
      <c r="T15" s="17"/>
      <c r="U15" s="17">
        <v>3802</v>
      </c>
      <c r="V15" s="17"/>
      <c r="W15" s="17">
        <v>3539</v>
      </c>
      <c r="X15" s="17"/>
      <c r="Y15" s="17">
        <v>4371</v>
      </c>
      <c r="Z15" s="17"/>
      <c r="AA15" s="17">
        <v>4861</v>
      </c>
      <c r="AB15" s="17">
        <v>5276</v>
      </c>
      <c r="AC15" s="17">
        <v>5713</v>
      </c>
      <c r="AD15" s="17">
        <v>6501</v>
      </c>
      <c r="AE15" s="17">
        <v>6586</v>
      </c>
      <c r="AF15" s="17">
        <v>6315</v>
      </c>
      <c r="AG15" s="17">
        <f t="shared" ref="AG15:AL15" si="0">SUM(AG11:AG14)</f>
        <v>5746</v>
      </c>
      <c r="AH15" s="17">
        <f t="shared" si="0"/>
        <v>5110</v>
      </c>
      <c r="AI15" s="17">
        <f t="shared" si="0"/>
        <v>4904</v>
      </c>
      <c r="AJ15" s="17">
        <f t="shared" si="0"/>
        <v>4505</v>
      </c>
      <c r="AK15" s="17">
        <f t="shared" si="0"/>
        <v>4359</v>
      </c>
      <c r="AL15" s="17">
        <f t="shared" si="0"/>
        <v>4304</v>
      </c>
      <c r="AM15" s="17">
        <v>4221</v>
      </c>
      <c r="AN15" s="17">
        <v>4349</v>
      </c>
      <c r="AO15" s="17">
        <f t="shared" ref="AO15:AT15" si="1">SUM(AO11:AO14)</f>
        <v>4434</v>
      </c>
      <c r="AP15" s="17">
        <f t="shared" si="1"/>
        <v>4487</v>
      </c>
      <c r="AQ15" s="17">
        <f>SUM(AQ11:AQ14)</f>
        <v>4438</v>
      </c>
      <c r="AR15" s="17">
        <f t="shared" si="1"/>
        <v>4386</v>
      </c>
      <c r="AS15" s="17">
        <f t="shared" si="1"/>
        <v>4342</v>
      </c>
      <c r="AT15" s="17">
        <f t="shared" si="1"/>
        <v>4112</v>
      </c>
      <c r="AU15" s="17">
        <f>SUM(AU11:AU14)</f>
        <v>4059</v>
      </c>
      <c r="AV15" s="17">
        <f>SUM(AV11:AV14)</f>
        <v>3882</v>
      </c>
      <c r="AW15" s="17">
        <f>SUM(AW11:AW14)</f>
        <v>3698</v>
      </c>
      <c r="AX15" s="17">
        <f>SUM(AX11:AX14)</f>
        <v>3756</v>
      </c>
      <c r="AY15" s="17">
        <f>SUM(AY11:AY14)</f>
        <v>3849</v>
      </c>
      <c r="AZ15" s="17">
        <f t="shared" ref="AZ15:BI15" si="2">SUM(AZ11:AZ14)</f>
        <v>4089</v>
      </c>
      <c r="BA15" s="17">
        <f t="shared" si="2"/>
        <v>4119</v>
      </c>
      <c r="BB15" s="17">
        <f t="shared" si="2"/>
        <v>4311</v>
      </c>
      <c r="BC15" s="17">
        <f t="shared" si="2"/>
        <v>4515</v>
      </c>
      <c r="BD15" s="17">
        <f t="shared" si="2"/>
        <v>4752</v>
      </c>
      <c r="BE15" s="17">
        <f t="shared" si="2"/>
        <v>4911</v>
      </c>
      <c r="BF15" s="17">
        <f t="shared" si="2"/>
        <v>5206</v>
      </c>
      <c r="BG15" s="17">
        <f t="shared" si="2"/>
        <v>5503</v>
      </c>
      <c r="BH15" s="17">
        <f t="shared" si="2"/>
        <v>5671</v>
      </c>
      <c r="BI15" s="17">
        <f t="shared" si="2"/>
        <v>5841</v>
      </c>
      <c r="BJ15" s="17">
        <f t="shared" ref="BJ15:BO15" si="3">SUM(BJ11:BJ14)</f>
        <v>6145</v>
      </c>
      <c r="BK15" s="17">
        <f t="shared" si="3"/>
        <v>6520</v>
      </c>
      <c r="BL15" s="17">
        <f t="shared" si="3"/>
        <v>6839</v>
      </c>
      <c r="BM15" s="17">
        <f t="shared" si="3"/>
        <v>6906</v>
      </c>
      <c r="BN15" s="17">
        <f t="shared" si="3"/>
        <v>6919</v>
      </c>
      <c r="BO15" s="17">
        <f t="shared" si="3"/>
        <v>6843</v>
      </c>
      <c r="BP15" s="17">
        <f>SUM(BP11:BP14)</f>
        <v>6454</v>
      </c>
      <c r="BQ15" s="17">
        <f>SUM(BQ11:BQ14)</f>
        <v>6083</v>
      </c>
      <c r="BR15" s="17">
        <f>SUM(BR11:BR14)</f>
        <v>5696</v>
      </c>
      <c r="BS15" s="17">
        <f>SUM(BS11:BS14)</f>
        <v>5498</v>
      </c>
      <c r="BT15" s="17">
        <f>SUM(BT11:BT14)</f>
        <v>5510</v>
      </c>
      <c r="BU15" s="12"/>
      <c r="BW15" s="66"/>
    </row>
    <row r="16" spans="1:75" ht="13.5" customHeight="1" x14ac:dyDescent="0.2">
      <c r="A16" s="11"/>
      <c r="C16" s="4" t="s">
        <v>69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2"/>
    </row>
    <row r="17" spans="1:75" ht="13.5" customHeight="1" x14ac:dyDescent="0.2">
      <c r="A17" s="11"/>
      <c r="D17" s="2" t="s">
        <v>83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v>788</v>
      </c>
      <c r="P17" s="17">
        <v>916</v>
      </c>
      <c r="Q17" s="17">
        <v>1170</v>
      </c>
      <c r="R17" s="17">
        <v>1317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>
        <f>455+473</f>
        <v>928</v>
      </c>
      <c r="AI17" s="17">
        <v>1165</v>
      </c>
      <c r="AJ17" s="17">
        <v>1155</v>
      </c>
      <c r="AK17" s="17">
        <v>949</v>
      </c>
      <c r="AL17" s="17">
        <v>946</v>
      </c>
      <c r="AM17" s="17">
        <v>907</v>
      </c>
      <c r="AN17" s="17">
        <v>909</v>
      </c>
      <c r="AO17" s="17">
        <f>114+193+395+189</f>
        <v>891</v>
      </c>
      <c r="AP17" s="17">
        <f>154+197+348+165</f>
        <v>864</v>
      </c>
      <c r="AQ17" s="17">
        <f>132+130+304+129</f>
        <v>695</v>
      </c>
      <c r="AR17" s="17">
        <f>118+189+266+118</f>
        <v>691</v>
      </c>
      <c r="AS17" s="17">
        <f>115+221+185+120</f>
        <v>641</v>
      </c>
      <c r="AT17" s="17">
        <f>97+206+177+99</f>
        <v>579</v>
      </c>
      <c r="AU17" s="17">
        <f>90+210+155+92</f>
        <v>547</v>
      </c>
      <c r="AV17" s="17">
        <f>88+226+110+50+19+19+37</f>
        <v>549</v>
      </c>
      <c r="AW17" s="17">
        <f>76+304+139+118</f>
        <v>637</v>
      </c>
      <c r="AX17" s="17">
        <f>86+388+131+198</f>
        <v>803</v>
      </c>
      <c r="AY17" s="17">
        <f>142+499+140+219</f>
        <v>1000</v>
      </c>
      <c r="AZ17" s="17">
        <f>147+407+155+237</f>
        <v>946</v>
      </c>
      <c r="BA17" s="17">
        <f>123+312+151+204+1+7+14+30</f>
        <v>842</v>
      </c>
      <c r="BB17" s="17">
        <f>139+315+148+164+2+13+53+63</f>
        <v>897</v>
      </c>
      <c r="BC17" s="17">
        <f>130+327+153+154+2+9+66+133</f>
        <v>974</v>
      </c>
      <c r="BD17" s="17">
        <f>129+325+159+191+8+37+84+126</f>
        <v>1059</v>
      </c>
      <c r="BE17" s="17">
        <f>118+352+261+339</f>
        <v>1070</v>
      </c>
      <c r="BF17" s="17">
        <f>158+438+222+350</f>
        <v>1168</v>
      </c>
      <c r="BG17" s="17">
        <v>1216</v>
      </c>
      <c r="BH17" s="17">
        <f>199+447+256+408</f>
        <v>1310</v>
      </c>
      <c r="BI17" s="17">
        <f>153+457+238+409</f>
        <v>1257</v>
      </c>
      <c r="BJ17" s="17">
        <f>129+597+243+445</f>
        <v>1414</v>
      </c>
      <c r="BK17" s="17">
        <f>126+681+233+484</f>
        <v>1524</v>
      </c>
      <c r="BL17" s="17">
        <f>139+584+233+493</f>
        <v>1449</v>
      </c>
      <c r="BM17" s="17">
        <f>114+543+242+395</f>
        <v>1294</v>
      </c>
      <c r="BN17" s="17">
        <f>138+467+234+425</f>
        <v>1264</v>
      </c>
      <c r="BO17" s="17">
        <f>100+345+227+365</f>
        <v>1037</v>
      </c>
      <c r="BP17" s="17">
        <f>92+265+239+359</f>
        <v>955</v>
      </c>
      <c r="BQ17" s="17">
        <f>102+240+264+343</f>
        <v>949</v>
      </c>
      <c r="BR17" s="17">
        <f>119+313+223+327</f>
        <v>982</v>
      </c>
      <c r="BS17" s="17">
        <f>135+425+189+296</f>
        <v>1045</v>
      </c>
      <c r="BT17" s="17">
        <f>115+508+194+277</f>
        <v>1094</v>
      </c>
      <c r="BU17" s="12"/>
    </row>
    <row r="18" spans="1:75" ht="13.5" customHeight="1" x14ac:dyDescent="0.2">
      <c r="A18" s="11"/>
      <c r="D18" s="2" t="s">
        <v>70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v>71</v>
      </c>
      <c r="P18" s="17">
        <v>132</v>
      </c>
      <c r="Q18" s="17">
        <v>133</v>
      </c>
      <c r="R18" s="17">
        <v>204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>
        <f>227+2</f>
        <v>229</v>
      </c>
      <c r="AI18" s="17">
        <v>249</v>
      </c>
      <c r="AJ18" s="17">
        <v>256</v>
      </c>
      <c r="AK18" s="17">
        <v>294</v>
      </c>
      <c r="AL18" s="17">
        <v>285</v>
      </c>
      <c r="AM18" s="17">
        <v>302</v>
      </c>
      <c r="AN18" s="17">
        <v>308</v>
      </c>
      <c r="AO18" s="17">
        <f>39+94+52+134</f>
        <v>319</v>
      </c>
      <c r="AP18" s="17">
        <f>60+149+32+78</f>
        <v>319</v>
      </c>
      <c r="AQ18" s="17">
        <f>56+166+44+60</f>
        <v>326</v>
      </c>
      <c r="AR18" s="17">
        <f>63+146+40+75</f>
        <v>324</v>
      </c>
      <c r="AS18" s="17">
        <f>53+132+40+45</f>
        <v>270</v>
      </c>
      <c r="AT18" s="17">
        <f>51+144+34+47</f>
        <v>276</v>
      </c>
      <c r="AU18" s="17">
        <f>45+175+35+46</f>
        <v>301</v>
      </c>
      <c r="AV18" s="17">
        <f>48+177+25+26</f>
        <v>276</v>
      </c>
      <c r="AW18" s="17">
        <f>41+181+27+32</f>
        <v>281</v>
      </c>
      <c r="AX18" s="17">
        <f>40+194+28+43</f>
        <v>305</v>
      </c>
      <c r="AY18" s="17">
        <f>37+238+26+37</f>
        <v>338</v>
      </c>
      <c r="AZ18" s="17">
        <f>44+237+24+41</f>
        <v>346</v>
      </c>
      <c r="BA18" s="17">
        <f>55+259+26+37</f>
        <v>377</v>
      </c>
      <c r="BB18" s="17">
        <f>67+234+27+41</f>
        <v>369</v>
      </c>
      <c r="BC18" s="17">
        <f>66+211+33+40</f>
        <v>350</v>
      </c>
      <c r="BD18" s="17">
        <f>84+185+30+45</f>
        <v>344</v>
      </c>
      <c r="BE18" s="17">
        <f>75+212+43+34</f>
        <v>364</v>
      </c>
      <c r="BF18" s="17">
        <f>75+281+38+30</f>
        <v>424</v>
      </c>
      <c r="BG18" s="17">
        <v>466</v>
      </c>
      <c r="BH18" s="17">
        <f>79+361+43+45</f>
        <v>528</v>
      </c>
      <c r="BI18" s="17">
        <f>66+362+40+49</f>
        <v>517</v>
      </c>
      <c r="BJ18" s="17">
        <f>75+390+37+53</f>
        <v>555</v>
      </c>
      <c r="BK18" s="17">
        <f>79+416+34+54</f>
        <v>583</v>
      </c>
      <c r="BL18" s="17">
        <f>78+434+34+46</f>
        <v>592</v>
      </c>
      <c r="BM18" s="17">
        <f>104+455+29+36</f>
        <v>624</v>
      </c>
      <c r="BN18" s="17">
        <f>111+498+38+42</f>
        <v>689</v>
      </c>
      <c r="BO18" s="17">
        <f>114+493+41+51</f>
        <v>699</v>
      </c>
      <c r="BP18" s="17">
        <f>105+457+38+60</f>
        <v>660</v>
      </c>
      <c r="BQ18" s="17">
        <f>97+342+45+107</f>
        <v>591</v>
      </c>
      <c r="BR18" s="17">
        <f>98+380+35+39</f>
        <v>552</v>
      </c>
      <c r="BS18" s="17">
        <f>101+365+28+39</f>
        <v>533</v>
      </c>
      <c r="BT18" s="17">
        <f>99+382+28+39</f>
        <v>548</v>
      </c>
      <c r="BU18" s="12"/>
    </row>
    <row r="19" spans="1:75" ht="13.5" customHeight="1" x14ac:dyDescent="0.2">
      <c r="A19" s="11"/>
      <c r="D19" s="2" t="s">
        <v>64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>
        <v>11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>
        <v>163</v>
      </c>
      <c r="AH19" s="18">
        <f>35+142</f>
        <v>177</v>
      </c>
      <c r="AI19" s="18">
        <v>0</v>
      </c>
      <c r="AJ19" s="18">
        <v>0</v>
      </c>
      <c r="AK19" s="18">
        <v>122</v>
      </c>
      <c r="AL19" s="18">
        <v>41</v>
      </c>
      <c r="AM19" s="18">
        <v>13</v>
      </c>
      <c r="AN19" s="18">
        <v>16</v>
      </c>
      <c r="AO19" s="18">
        <f>0+0+13+0</f>
        <v>13</v>
      </c>
      <c r="AP19" s="18">
        <f>1+0+9+1</f>
        <v>11</v>
      </c>
      <c r="AQ19" s="18">
        <f>1+2+9+1</f>
        <v>13</v>
      </c>
      <c r="AR19" s="18">
        <f>1+0+23+1</f>
        <v>25</v>
      </c>
      <c r="AS19" s="18">
        <f>0+0+7+4</f>
        <v>11</v>
      </c>
      <c r="AT19" s="18">
        <f>0+1+7+1</f>
        <v>9</v>
      </c>
      <c r="AU19" s="18">
        <f>0+0+11+0</f>
        <v>11</v>
      </c>
      <c r="AV19" s="18">
        <f>1+0+7+0</f>
        <v>8</v>
      </c>
      <c r="AW19" s="18">
        <f>2+0+4+4</f>
        <v>10</v>
      </c>
      <c r="AX19" s="18">
        <f>1+0+3+5</f>
        <v>9</v>
      </c>
      <c r="AY19" s="18">
        <f>0+1+27+25</f>
        <v>53</v>
      </c>
      <c r="AZ19" s="18">
        <f>0+6+24+48</f>
        <v>78</v>
      </c>
      <c r="BA19" s="18">
        <f>1+5+37+23</f>
        <v>66</v>
      </c>
      <c r="BB19" s="18">
        <f>1+14+8</f>
        <v>23</v>
      </c>
      <c r="BC19" s="18">
        <f>1+1+6+11</f>
        <v>19</v>
      </c>
      <c r="BD19" s="18">
        <f>7+4</f>
        <v>11</v>
      </c>
      <c r="BE19" s="18">
        <f>1+15+6</f>
        <v>22</v>
      </c>
      <c r="BF19" s="18">
        <f>12+4</f>
        <v>16</v>
      </c>
      <c r="BG19" s="18">
        <v>20</v>
      </c>
      <c r="BH19" s="18">
        <f>5+7</f>
        <v>12</v>
      </c>
      <c r="BI19" s="18">
        <f>1+6+23</f>
        <v>30</v>
      </c>
      <c r="BJ19" s="18">
        <f>5+10</f>
        <v>15</v>
      </c>
      <c r="BK19" s="18">
        <f>5+8</f>
        <v>13</v>
      </c>
      <c r="BL19" s="18">
        <f>2+4</f>
        <v>6</v>
      </c>
      <c r="BM19" s="18">
        <f>5+6</f>
        <v>11</v>
      </c>
      <c r="BN19" s="18">
        <f>1+1+3+6</f>
        <v>11</v>
      </c>
      <c r="BO19" s="18">
        <f>5+17</f>
        <v>22</v>
      </c>
      <c r="BP19" s="18">
        <f>1+4+14</f>
        <v>19</v>
      </c>
      <c r="BQ19" s="18">
        <f>4+15</f>
        <v>19</v>
      </c>
      <c r="BR19" s="18">
        <f>3+8</f>
        <v>11</v>
      </c>
      <c r="BS19" s="18">
        <f>2+2</f>
        <v>4</v>
      </c>
      <c r="BT19" s="18">
        <f>2+2</f>
        <v>4</v>
      </c>
      <c r="BU19" s="12"/>
    </row>
    <row r="20" spans="1:75" ht="13.5" customHeight="1" x14ac:dyDescent="0.2">
      <c r="A20" s="11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f>SUM(O17:O19)</f>
        <v>870</v>
      </c>
      <c r="P20" s="17">
        <f>SUM(P17:P19)</f>
        <v>1048</v>
      </c>
      <c r="Q20" s="17">
        <f>SUM(Q17:Q19)</f>
        <v>1303</v>
      </c>
      <c r="R20" s="17">
        <f>SUM(R17:R19)</f>
        <v>1521</v>
      </c>
      <c r="S20" s="17">
        <v>1554</v>
      </c>
      <c r="T20" s="17"/>
      <c r="U20" s="17">
        <v>1106</v>
      </c>
      <c r="V20" s="17"/>
      <c r="W20" s="17">
        <v>891</v>
      </c>
      <c r="X20" s="17"/>
      <c r="Y20" s="17">
        <v>838</v>
      </c>
      <c r="Z20" s="17"/>
      <c r="AA20" s="17">
        <v>874</v>
      </c>
      <c r="AB20" s="17">
        <v>827</v>
      </c>
      <c r="AC20" s="17">
        <v>946</v>
      </c>
      <c r="AD20" s="17">
        <v>1058</v>
      </c>
      <c r="AE20" s="17">
        <v>1209</v>
      </c>
      <c r="AF20" s="17">
        <v>1251</v>
      </c>
      <c r="AG20" s="17">
        <v>1221</v>
      </c>
      <c r="AH20" s="17">
        <f t="shared" ref="AH20:AT20" si="4">SUM(AH17:AH19)</f>
        <v>1334</v>
      </c>
      <c r="AI20" s="17">
        <f t="shared" si="4"/>
        <v>1414</v>
      </c>
      <c r="AJ20" s="17">
        <f t="shared" si="4"/>
        <v>1411</v>
      </c>
      <c r="AK20" s="17">
        <f t="shared" si="4"/>
        <v>1365</v>
      </c>
      <c r="AL20" s="17">
        <f t="shared" si="4"/>
        <v>1272</v>
      </c>
      <c r="AM20" s="17">
        <f t="shared" si="4"/>
        <v>1222</v>
      </c>
      <c r="AN20" s="17">
        <f t="shared" si="4"/>
        <v>1233</v>
      </c>
      <c r="AO20" s="17">
        <f t="shared" si="4"/>
        <v>1223</v>
      </c>
      <c r="AP20" s="17">
        <f t="shared" si="4"/>
        <v>1194</v>
      </c>
      <c r="AQ20" s="17">
        <f t="shared" si="4"/>
        <v>1034</v>
      </c>
      <c r="AR20" s="17">
        <f t="shared" si="4"/>
        <v>1040</v>
      </c>
      <c r="AS20" s="17">
        <f t="shared" si="4"/>
        <v>922</v>
      </c>
      <c r="AT20" s="17">
        <f t="shared" si="4"/>
        <v>864</v>
      </c>
      <c r="AU20" s="17">
        <f t="shared" ref="AU20:BK20" si="5">SUM(AU17:AU19)</f>
        <v>859</v>
      </c>
      <c r="AV20" s="17">
        <f t="shared" si="5"/>
        <v>833</v>
      </c>
      <c r="AW20" s="17">
        <f t="shared" si="5"/>
        <v>928</v>
      </c>
      <c r="AX20" s="17">
        <f t="shared" si="5"/>
        <v>1117</v>
      </c>
      <c r="AY20" s="17">
        <f t="shared" si="5"/>
        <v>1391</v>
      </c>
      <c r="AZ20" s="17">
        <f t="shared" si="5"/>
        <v>1370</v>
      </c>
      <c r="BA20" s="17">
        <f t="shared" si="5"/>
        <v>1285</v>
      </c>
      <c r="BB20" s="17">
        <f t="shared" si="5"/>
        <v>1289</v>
      </c>
      <c r="BC20" s="17">
        <f t="shared" si="5"/>
        <v>1343</v>
      </c>
      <c r="BD20" s="17">
        <f t="shared" si="5"/>
        <v>1414</v>
      </c>
      <c r="BE20" s="17">
        <f t="shared" si="5"/>
        <v>1456</v>
      </c>
      <c r="BF20" s="17">
        <f t="shared" si="5"/>
        <v>1608</v>
      </c>
      <c r="BG20" s="17">
        <f>SUM(BG17:BG19)</f>
        <v>1702</v>
      </c>
      <c r="BH20" s="17">
        <f t="shared" si="5"/>
        <v>1850</v>
      </c>
      <c r="BI20" s="17">
        <f t="shared" si="5"/>
        <v>1804</v>
      </c>
      <c r="BJ20" s="17">
        <f t="shared" si="5"/>
        <v>1984</v>
      </c>
      <c r="BK20" s="17">
        <f t="shared" si="5"/>
        <v>2120</v>
      </c>
      <c r="BL20" s="17">
        <f t="shared" ref="BL20:BQ20" si="6">SUM(BL17:BL19)</f>
        <v>2047</v>
      </c>
      <c r="BM20" s="17">
        <f t="shared" si="6"/>
        <v>1929</v>
      </c>
      <c r="BN20" s="17">
        <f t="shared" si="6"/>
        <v>1964</v>
      </c>
      <c r="BO20" s="17">
        <f t="shared" si="6"/>
        <v>1758</v>
      </c>
      <c r="BP20" s="17">
        <f t="shared" si="6"/>
        <v>1634</v>
      </c>
      <c r="BQ20" s="17">
        <f t="shared" si="6"/>
        <v>1559</v>
      </c>
      <c r="BR20" s="17">
        <f>SUM(BR17:BR19)</f>
        <v>1545</v>
      </c>
      <c r="BS20" s="17">
        <f>SUM(BS17:BS19)</f>
        <v>1582</v>
      </c>
      <c r="BT20" s="17">
        <f>SUM(BT17:BT19)</f>
        <v>1646</v>
      </c>
      <c r="BU20" s="12"/>
      <c r="BW20" s="66"/>
    </row>
    <row r="21" spans="1:75" ht="13.5" customHeight="1" x14ac:dyDescent="0.2">
      <c r="A21" s="11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2"/>
    </row>
    <row r="22" spans="1:75" ht="13.5" customHeight="1" x14ac:dyDescent="0.2">
      <c r="A22" s="11"/>
      <c r="C22" s="4" t="s">
        <v>71</v>
      </c>
      <c r="E22" s="17">
        <v>635</v>
      </c>
      <c r="F22" s="17">
        <v>446</v>
      </c>
      <c r="G22" s="17">
        <v>890</v>
      </c>
      <c r="H22" s="17">
        <v>900</v>
      </c>
      <c r="I22" s="17">
        <v>1950</v>
      </c>
      <c r="J22" s="17">
        <v>2070</v>
      </c>
      <c r="K22" s="17">
        <v>3134</v>
      </c>
      <c r="L22" s="17"/>
      <c r="M22" s="17"/>
      <c r="N22" s="17">
        <v>4756</v>
      </c>
      <c r="O22" s="17">
        <f>O15+O20</f>
        <v>4847</v>
      </c>
      <c r="P22" s="17">
        <f>P15+P20</f>
        <v>5264</v>
      </c>
      <c r="Q22" s="17">
        <f>Q15+Q20</f>
        <v>5778</v>
      </c>
      <c r="R22" s="17">
        <f>R15+R20</f>
        <v>6088</v>
      </c>
      <c r="S22" s="17">
        <f>S15+S20</f>
        <v>6077</v>
      </c>
      <c r="T22" s="17"/>
      <c r="U22" s="17">
        <f>U15+U20</f>
        <v>4908</v>
      </c>
      <c r="V22" s="17"/>
      <c r="W22" s="17">
        <f>W15+W20</f>
        <v>4430</v>
      </c>
      <c r="X22" s="17">
        <v>5055</v>
      </c>
      <c r="Y22" s="17">
        <f>Y15+Y20</f>
        <v>5209</v>
      </c>
      <c r="Z22" s="17">
        <v>5399</v>
      </c>
      <c r="AA22" s="17">
        <f t="shared" ref="AA22:BK22" si="7">AA15+AA20</f>
        <v>5735</v>
      </c>
      <c r="AB22" s="17">
        <f t="shared" si="7"/>
        <v>6103</v>
      </c>
      <c r="AC22" s="17">
        <f t="shared" si="7"/>
        <v>6659</v>
      </c>
      <c r="AD22" s="17">
        <f t="shared" si="7"/>
        <v>7559</v>
      </c>
      <c r="AE22" s="17">
        <f t="shared" si="7"/>
        <v>7795</v>
      </c>
      <c r="AF22" s="17">
        <f t="shared" si="7"/>
        <v>7566</v>
      </c>
      <c r="AG22" s="17">
        <f t="shared" si="7"/>
        <v>6967</v>
      </c>
      <c r="AH22" s="17">
        <f t="shared" si="7"/>
        <v>6444</v>
      </c>
      <c r="AI22" s="17">
        <f t="shared" si="7"/>
        <v>6318</v>
      </c>
      <c r="AJ22" s="17">
        <f t="shared" si="7"/>
        <v>5916</v>
      </c>
      <c r="AK22" s="17">
        <f t="shared" si="7"/>
        <v>5724</v>
      </c>
      <c r="AL22" s="17">
        <f t="shared" si="7"/>
        <v>5576</v>
      </c>
      <c r="AM22" s="17">
        <f t="shared" si="7"/>
        <v>5443</v>
      </c>
      <c r="AN22" s="17">
        <f t="shared" si="7"/>
        <v>5582</v>
      </c>
      <c r="AO22" s="17">
        <f t="shared" si="7"/>
        <v>5657</v>
      </c>
      <c r="AP22" s="17">
        <f t="shared" si="7"/>
        <v>5681</v>
      </c>
      <c r="AQ22" s="17">
        <f t="shared" si="7"/>
        <v>5472</v>
      </c>
      <c r="AR22" s="17">
        <f t="shared" si="7"/>
        <v>5426</v>
      </c>
      <c r="AS22" s="17">
        <f t="shared" si="7"/>
        <v>5264</v>
      </c>
      <c r="AT22" s="17">
        <f t="shared" si="7"/>
        <v>4976</v>
      </c>
      <c r="AU22" s="17">
        <f t="shared" si="7"/>
        <v>4918</v>
      </c>
      <c r="AV22" s="17">
        <f t="shared" si="7"/>
        <v>4715</v>
      </c>
      <c r="AW22" s="17">
        <f t="shared" si="7"/>
        <v>4626</v>
      </c>
      <c r="AX22" s="17">
        <f t="shared" si="7"/>
        <v>4873</v>
      </c>
      <c r="AY22" s="17">
        <f t="shared" si="7"/>
        <v>5240</v>
      </c>
      <c r="AZ22" s="17">
        <f t="shared" si="7"/>
        <v>5459</v>
      </c>
      <c r="BA22" s="17">
        <f t="shared" si="7"/>
        <v>5404</v>
      </c>
      <c r="BB22" s="17">
        <f t="shared" si="7"/>
        <v>5600</v>
      </c>
      <c r="BC22" s="17">
        <f t="shared" si="7"/>
        <v>5858</v>
      </c>
      <c r="BD22" s="17">
        <f t="shared" si="7"/>
        <v>6166</v>
      </c>
      <c r="BE22" s="17">
        <f t="shared" si="7"/>
        <v>6367</v>
      </c>
      <c r="BF22" s="17">
        <f t="shared" si="7"/>
        <v>6814</v>
      </c>
      <c r="BG22" s="17">
        <f t="shared" si="7"/>
        <v>7205</v>
      </c>
      <c r="BH22" s="17">
        <f t="shared" si="7"/>
        <v>7521</v>
      </c>
      <c r="BI22" s="17">
        <f t="shared" si="7"/>
        <v>7645</v>
      </c>
      <c r="BJ22" s="17">
        <f t="shared" si="7"/>
        <v>8129</v>
      </c>
      <c r="BK22" s="17">
        <f t="shared" si="7"/>
        <v>8640</v>
      </c>
      <c r="BL22" s="17">
        <f t="shared" ref="BL22:BQ22" si="8">BL15+BL20</f>
        <v>8886</v>
      </c>
      <c r="BM22" s="17">
        <f t="shared" si="8"/>
        <v>8835</v>
      </c>
      <c r="BN22" s="17">
        <f t="shared" si="8"/>
        <v>8883</v>
      </c>
      <c r="BO22" s="17">
        <f t="shared" si="8"/>
        <v>8601</v>
      </c>
      <c r="BP22" s="17">
        <f t="shared" si="8"/>
        <v>8088</v>
      </c>
      <c r="BQ22" s="17">
        <f t="shared" si="8"/>
        <v>7642</v>
      </c>
      <c r="BR22" s="17">
        <f>BR15+BR20</f>
        <v>7241</v>
      </c>
      <c r="BS22" s="17">
        <f>BS15+BS20</f>
        <v>7080</v>
      </c>
      <c r="BT22" s="17">
        <f>BT15+BT20</f>
        <v>7156</v>
      </c>
      <c r="BU22" s="12"/>
      <c r="BW22" s="66"/>
    </row>
    <row r="23" spans="1:75" ht="13.5" customHeight="1" x14ac:dyDescent="0.2">
      <c r="A23" s="1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2"/>
    </row>
    <row r="24" spans="1:75" ht="13.5" customHeight="1" x14ac:dyDescent="0.2">
      <c r="A24" s="11"/>
      <c r="B24" s="60" t="s">
        <v>72</v>
      </c>
      <c r="C24" s="43"/>
      <c r="D24" s="43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12"/>
    </row>
    <row r="25" spans="1:75" ht="13.5" customHeight="1" x14ac:dyDescent="0.2">
      <c r="A25" s="11"/>
      <c r="D25" s="2" t="s">
        <v>62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v>3956</v>
      </c>
      <c r="P25" s="17">
        <v>4195</v>
      </c>
      <c r="Q25" s="17">
        <v>4431</v>
      </c>
      <c r="R25" s="17">
        <v>4522</v>
      </c>
      <c r="S25" s="17"/>
      <c r="T25" s="17"/>
      <c r="U25" s="17"/>
      <c r="V25" s="17"/>
      <c r="W25" s="17"/>
      <c r="X25" s="17"/>
      <c r="Y25" s="17"/>
      <c r="Z25" s="17"/>
      <c r="AA25" s="17">
        <v>4695</v>
      </c>
      <c r="AB25" s="17">
        <v>5071</v>
      </c>
      <c r="AC25" s="17">
        <v>5480</v>
      </c>
      <c r="AD25" s="17">
        <v>6132</v>
      </c>
      <c r="AE25" s="17">
        <v>6405</v>
      </c>
      <c r="AF25" s="17">
        <v>5991</v>
      </c>
      <c r="AG25" s="17">
        <v>5385</v>
      </c>
      <c r="AH25" s="17">
        <v>4725</v>
      </c>
      <c r="AI25" s="17">
        <v>4291</v>
      </c>
      <c r="AJ25" s="17">
        <v>3950</v>
      </c>
      <c r="AK25" s="17">
        <v>3808</v>
      </c>
      <c r="AL25" s="17">
        <v>3737</v>
      </c>
      <c r="AM25" s="17">
        <v>3630</v>
      </c>
      <c r="AN25" s="17">
        <v>3751</v>
      </c>
      <c r="AO25" s="17">
        <f>582.9+222.5+6+0.6+2326.5+527.2+146.1+23.4+17.6+0+35+5.2</f>
        <v>3892.9999999999995</v>
      </c>
      <c r="AP25" s="17">
        <f>568+252.8+6.1+1.1+2395.1+572.2+137.3+17.8+9.6+1.8+30.4+5.9</f>
        <v>3998.1000000000008</v>
      </c>
      <c r="AQ25" s="17">
        <f>557.4+260.1+9.4+0+2260.6+632.4+157.7+27+3.6+0+26.4+4.1</f>
        <v>3938.7</v>
      </c>
      <c r="AR25" s="17">
        <f>550.3+292.9+4.4+1.6+2233.5+703.4+113.9+24.3+0.9+0+22.3+2.5</f>
        <v>3950.0000000000005</v>
      </c>
      <c r="AS25" s="17">
        <f>522.6+300.1+3.4+1.9+2203.5+738.3+134.7+32.2+1.8+0+18.2+1.1</f>
        <v>3957.7999999999997</v>
      </c>
      <c r="AT25" s="17">
        <f>521.3+198.4+4.1+3+1974+813.7+139.6+25.9+1+2.4+15.9+3.1</f>
        <v>3702.4</v>
      </c>
      <c r="AU25" s="17">
        <f>754.5+5.3+2773.3+148.1+6+17.7</f>
        <v>3704.9</v>
      </c>
      <c r="AV25" s="17">
        <f>530+182.8+2.6+1.6+1968.8+684.9+121.4+21.7+3+4.9+11.3+5.9</f>
        <v>3538.9000000000005</v>
      </c>
      <c r="AW25" s="17">
        <f>529.7+185.5+2.2+0.3+1964.4+591.6+98.6+16.2+3.3+0+14.3+5.8</f>
        <v>3411.9000000000005</v>
      </c>
      <c r="AX25" s="17">
        <f>542.3+171.2+1.8+1.9+2025.5+555.4+104.7+20.2+1.9+8.4+11.7+8.1</f>
        <v>3453.0999999999995</v>
      </c>
      <c r="AY25" s="17">
        <f>608.7+202+2.7+0.1+2054.8+570.9+112.7+16.9+5.8+0+14.8+4.9</f>
        <v>3594.3000000000006</v>
      </c>
      <c r="AZ25" s="17">
        <f>702.3+186.7+2.9+1.9+2177.5+545.6+100.5+12.3+4.1+5.4+22.5+8.5</f>
        <v>3770.2000000000003</v>
      </c>
      <c r="BA25" s="17">
        <f>660.3+190.9+1.5+0.4+2274.5+541.8+101.5+13.8+3.6+3.5+20.5+3.1</f>
        <v>3815.3999999999996</v>
      </c>
      <c r="BB25" s="17">
        <f>696.5+200.8+0.7+1.6+2393.1+550.6+117+12.6+5.3+3.7+14.3+3.9</f>
        <v>4000.1</v>
      </c>
      <c r="BC25" s="17">
        <f>760.6+185.8+1.9+9.6+2514.4+582.1+109+20+6.2+9.1+1</f>
        <v>4199.7</v>
      </c>
      <c r="BD25" s="17">
        <f>816.9+233.4+4.8+1.3+2684.3+608.1+106.6+14+1+0.8+10.4+1.6</f>
        <v>4483.2000000000007</v>
      </c>
      <c r="BE25" s="17">
        <f>834.8+215+2.7+2+2774.8+658.2+106.1+14.2+3.8+3.6+5.3+1.2</f>
        <v>4621.7000000000007</v>
      </c>
      <c r="BF25" s="17">
        <f>895.4+218.2+1.7+0.7+2919+689.4+121.6+19.4+1+8.3+8.9+2.8</f>
        <v>4886.3999999999996</v>
      </c>
      <c r="BG25" s="17">
        <f>927+227.8+1.8+2.6+2979.4+768.2+161+44.1+4+8.7+2</f>
        <v>5126.6000000000004</v>
      </c>
      <c r="BH25" s="17">
        <f>871.4+224+1.4+1.8+3115.4+803.4+147.5+50.1+1+7.4+10.1+2.3</f>
        <v>5235.8</v>
      </c>
      <c r="BI25" s="17">
        <f>860.3+265+3.4+3174.1+793.8+177.5+38.6+1+25.3+11.7+0.9</f>
        <v>5351.6</v>
      </c>
      <c r="BJ25" s="17">
        <f>988.7+240.9+0.5+7.5+3234.4+785.6+190.9+67.7+3.1+29.2+10.3+0.6</f>
        <v>5559.4000000000005</v>
      </c>
      <c r="BK25" s="17">
        <f>1034.9+230.7+1.5+4.1+3465.1+853.8+203.9+79.7+6.1+61.6+4.9+0.5</f>
        <v>5946.8</v>
      </c>
      <c r="BL25" s="17">
        <f>1176.9+264.8+2.3+3.2+3620.9+816.6+202.7+61.3+5.5+54.3+7.1</f>
        <v>6215.6000000000013</v>
      </c>
      <c r="BM25" s="17">
        <f>1177.4+248.3+2.6+1.4+3764.9+744.5+226.8+46.3+4.2+8.1+9+0.5</f>
        <v>6234.0000000000009</v>
      </c>
      <c r="BN25" s="17">
        <f>1165.3+199.7+4.9+0.7+3807.9+674.6+271.9+46.5+1.9+9.9+9.5+0.2</f>
        <v>6192.9999999999991</v>
      </c>
      <c r="BO25" s="17">
        <f>1067.5+202.2+4.6+1.7+3899.3+609.5+265.5+41.1+10.9+9.6+10.5+0.5</f>
        <v>6122.9000000000005</v>
      </c>
      <c r="BP25" s="17">
        <f>916.9+194.7+2.5+3702.5+600.1+262.9+25.9+7.7+17.6+7.1+1.2</f>
        <v>5739.1</v>
      </c>
      <c r="BQ25" s="17">
        <f>860.2+205.2+3.3+0.3+3559.3+546.1+255.6+28.1+4.5+1+7.1+0.4</f>
        <v>5471.1000000000013</v>
      </c>
      <c r="BR25" s="17">
        <f>903+243.9+4.2+3110.3+545.7+236.6+24+4.2+5.3+0.3</f>
        <v>5077.5000000000009</v>
      </c>
      <c r="BS25" s="17">
        <f>847.5+271.5+2.8+0.7+2979.2+596.6+221.5+18.1+4.2+7.5+1</f>
        <v>4950.6000000000004</v>
      </c>
      <c r="BT25" s="17">
        <f>882.7+295.7+4.3+0.4+2959.6+689.6+190.4+26.1+6.7+7.6+0.4</f>
        <v>5063.5</v>
      </c>
      <c r="BU25" s="12"/>
    </row>
    <row r="26" spans="1:75" ht="13.5" customHeight="1" x14ac:dyDescent="0.2">
      <c r="A26" s="11"/>
      <c r="D26" s="2" t="s">
        <v>69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576</v>
      </c>
      <c r="P26" s="18">
        <v>686</v>
      </c>
      <c r="Q26" s="18">
        <v>848</v>
      </c>
      <c r="R26" s="18">
        <v>995</v>
      </c>
      <c r="S26" s="18"/>
      <c r="T26" s="18"/>
      <c r="U26" s="18"/>
      <c r="V26" s="18"/>
      <c r="W26" s="18"/>
      <c r="X26" s="18"/>
      <c r="Y26" s="18"/>
      <c r="Z26" s="18"/>
      <c r="AA26" s="18">
        <v>456</v>
      </c>
      <c r="AB26" s="18">
        <v>453</v>
      </c>
      <c r="AC26" s="18">
        <v>569</v>
      </c>
      <c r="AD26" s="18">
        <v>551</v>
      </c>
      <c r="AE26" s="18">
        <v>611</v>
      </c>
      <c r="AF26" s="18">
        <v>667</v>
      </c>
      <c r="AG26" s="18">
        <v>617</v>
      </c>
      <c r="AH26" s="18">
        <v>626</v>
      </c>
      <c r="AI26" s="18">
        <v>673</v>
      </c>
      <c r="AJ26" s="18">
        <v>669</v>
      </c>
      <c r="AK26" s="18">
        <v>633</v>
      </c>
      <c r="AL26" s="18">
        <v>591</v>
      </c>
      <c r="AM26" s="18">
        <v>578</v>
      </c>
      <c r="AN26" s="18">
        <v>622</v>
      </c>
      <c r="AO26" s="18">
        <f>0+0+3.8+0+97.8+158.6+123.3+70+34.3+78+16.4+42.1</f>
        <v>624.29999999999995</v>
      </c>
      <c r="AP26" s="18">
        <f>0.8+0+2.4+0.3+132.2+165.3+99.3+57.7+49.1+121.8+9+19.9</f>
        <v>657.8</v>
      </c>
      <c r="AQ26" s="18">
        <f>0.8+1.5+2.8+0.5+110+107.3+88+43.8+45.4+137.1+11.8+14.2</f>
        <v>563.19999999999993</v>
      </c>
      <c r="AR26" s="18">
        <f>1+0+5.8+0.3+100+159.3+79.1+37.2+51.2+119.2+9.4+14.1</f>
        <v>576.6</v>
      </c>
      <c r="AS26" s="18">
        <f>0+0+1.7+1+95.6+180.3+55.3+40.8+42.9+107.7+9+9</f>
        <v>543.30000000000007</v>
      </c>
      <c r="AT26" s="18">
        <f>0+1+2.2+0.3+81.3+171+52.7+33.7+41.5+116.3+7.6+9.1</f>
        <v>516.70000000000005</v>
      </c>
      <c r="AU26" s="18">
        <f>110.5+318.5+54.8+36.2</f>
        <v>520</v>
      </c>
      <c r="AV26" s="18">
        <f>1.1+1.8+72.6+197.1+40.5+24.6+40.1+142.9+4.9+5.5</f>
        <v>531.1</v>
      </c>
      <c r="AW26" s="18">
        <f>1.8+0+1.1+1.1+64.1+249.8+45+29.4+33.4+147+6.4+6.3</f>
        <v>585.39999999999986</v>
      </c>
      <c r="AX26" s="18">
        <f>0.8+0+4+0.8+72.3+312.5+40.5+60.8+32.2+157.1+5.9+8.2</f>
        <v>695.1</v>
      </c>
      <c r="AY26" s="18">
        <f>0+1+7.8+7+124.1+391.5+48.1+72.8+31+192.3+5.2+6.1</f>
        <v>886.9</v>
      </c>
      <c r="AZ26" s="18">
        <f>5.8+6.3+16.5+124.5+326.3+51.4+69.6+35.2+186.8+5.5+7.3</f>
        <v>835.2</v>
      </c>
      <c r="BA26" s="18">
        <f>0.8+5.5+10.5+8+102.8+259.3+49+57.2+1+9+4.5+9.8+44.1+202.9+6.2+8.3</f>
        <v>778.9</v>
      </c>
      <c r="BB26" s="18">
        <f>0.8+3.8+2.3+115.8+279.4+48.3+48.4+2+13.8+16.7+18.9+53.8+181.3+6.1+8.8</f>
        <v>800.19999999999993</v>
      </c>
      <c r="BC26" s="18">
        <f>0.8+0.8+1.5+1.8+107+261.6+51.3+45.3+1.8+8.5+22.8+44.3+54.3+164.7+8+8.5</f>
        <v>783</v>
      </c>
      <c r="BD26" s="18">
        <f>2.8+0.8+109.4+268.8+57.6+59.3+6.5+42.5+25+37.3+69.3+143.1+6.9+10.6</f>
        <v>839.9</v>
      </c>
      <c r="BE26" s="18">
        <f>0.8+3.8+1.5+97.4+287.9+84.3+111.2+61.9+165+10.4+7.1</f>
        <v>831.3</v>
      </c>
      <c r="BF26" s="18">
        <f>2.8+1+131.2+362.8+72.8+111.3+60.1+219.3+9+8.5</f>
        <v>978.8</v>
      </c>
      <c r="BG26" s="18">
        <f>6.8+2.3+1.8+171.2+338.8+79+113.5+50.8+250.2+12.6+9</f>
        <v>1035.9999999999998</v>
      </c>
      <c r="BH26" s="18">
        <f>1.3+1.8+167.8+378.2+88.3+134.3+61.7+282.5+11.9+12.9</f>
        <v>1140.7000000000003</v>
      </c>
      <c r="BI26" s="18">
        <f>0.8+1.5+5.8+133.9+396.3+77.4+131.3+50.8+279.9+10.7+13</f>
        <v>1101.3999999999999</v>
      </c>
      <c r="BJ26" s="18">
        <f>1.3+2.8+114.3+511.3+81+142.3+60.1+296.6+10.3+14.3</f>
        <v>1234.3</v>
      </c>
      <c r="BK26" s="39">
        <f>1.5+2.3+115.5+582.5+78.3+150.4+62.3+316.7+8+14.3</f>
        <v>1331.7999999999997</v>
      </c>
      <c r="BL26" s="39">
        <f>0.5+1.3+121.8+504.5+78+151.8+57.9+336.4+8.8+12.2</f>
        <v>1273.2</v>
      </c>
      <c r="BM26" s="39">
        <f>1.5+1.5+95.1+468+85.4+123.2+78.4+353.3+6.8+10.3</f>
        <v>1223.5</v>
      </c>
      <c r="BN26" s="39">
        <f>1+0.8+1+1.5+121.3+410+84.8+135.3+89.6+389.5+10.6+11.7</f>
        <v>1257.1000000000001</v>
      </c>
      <c r="BO26" s="39">
        <f>1.5+4.5+87.6+332.9+80.8+115+87.9+379.6+10.2+13.2</f>
        <v>1113.2</v>
      </c>
      <c r="BP26" s="39">
        <f>0.8+1.5+4.1+80+253.2+84.9+114+80.1+342.8+8+16.7</f>
        <v>986.10000000000014</v>
      </c>
      <c r="BQ26" s="39">
        <f>1.3+5.3+87.7+213.3+98.4+113.1+74.8+256.2+9.3+14.9</f>
        <v>874.29999999999984</v>
      </c>
      <c r="BR26" s="39">
        <f>1+2.4+98.8+259.2+84+111.4+64.4+228.4+7.7+9.8</f>
        <v>867.09999999999991</v>
      </c>
      <c r="BS26" s="39">
        <f>0.7+0.5+111.7+347.7+65.3+100.7+65.6+226.2+5.5+8.4</f>
        <v>932.30000000000007</v>
      </c>
      <c r="BT26" s="39">
        <f>0.5+0.5+103.3+419.7+68.7+93.2+67.2+243.2+6.7+10.4</f>
        <v>1013.4000000000002</v>
      </c>
      <c r="BU26" s="12"/>
    </row>
    <row r="27" spans="1:75" ht="13.5" customHeight="1" x14ac:dyDescent="0.2">
      <c r="A27" s="11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>SUM(O25:O26)</f>
        <v>4532</v>
      </c>
      <c r="P27" s="17">
        <f>SUM(P25:P26)</f>
        <v>4881</v>
      </c>
      <c r="Q27" s="17">
        <f>SUM(Q25:Q26)</f>
        <v>5279</v>
      </c>
      <c r="R27" s="17">
        <f>SUM(R25:R26)</f>
        <v>5517</v>
      </c>
      <c r="S27" s="17"/>
      <c r="T27" s="17"/>
      <c r="U27" s="17"/>
      <c r="V27" s="17"/>
      <c r="W27" s="17">
        <v>4099</v>
      </c>
      <c r="X27" s="17">
        <v>4471</v>
      </c>
      <c r="Y27" s="17">
        <v>4668</v>
      </c>
      <c r="Z27" s="17">
        <v>4800</v>
      </c>
      <c r="AA27" s="17">
        <f t="shared" ref="AA27:BK27" si="9">SUM(AA25:AA26)</f>
        <v>5151</v>
      </c>
      <c r="AB27" s="17">
        <f t="shared" si="9"/>
        <v>5524</v>
      </c>
      <c r="AC27" s="17">
        <f t="shared" si="9"/>
        <v>6049</v>
      </c>
      <c r="AD27" s="17">
        <f t="shared" si="9"/>
        <v>6683</v>
      </c>
      <c r="AE27" s="17">
        <f t="shared" si="9"/>
        <v>7016</v>
      </c>
      <c r="AF27" s="17">
        <f t="shared" si="9"/>
        <v>6658</v>
      </c>
      <c r="AG27" s="17">
        <f t="shared" si="9"/>
        <v>6002</v>
      </c>
      <c r="AH27" s="17">
        <f t="shared" si="9"/>
        <v>5351</v>
      </c>
      <c r="AI27" s="17">
        <f t="shared" si="9"/>
        <v>4964</v>
      </c>
      <c r="AJ27" s="17">
        <f t="shared" si="9"/>
        <v>4619</v>
      </c>
      <c r="AK27" s="17">
        <f t="shared" si="9"/>
        <v>4441</v>
      </c>
      <c r="AL27" s="17">
        <f t="shared" si="9"/>
        <v>4328</v>
      </c>
      <c r="AM27" s="17">
        <f t="shared" si="9"/>
        <v>4208</v>
      </c>
      <c r="AN27" s="17">
        <f t="shared" si="9"/>
        <v>4373</v>
      </c>
      <c r="AO27" s="17">
        <f t="shared" si="9"/>
        <v>4517.2999999999993</v>
      </c>
      <c r="AP27" s="17">
        <f t="shared" si="9"/>
        <v>4655.9000000000005</v>
      </c>
      <c r="AQ27" s="17">
        <f t="shared" si="9"/>
        <v>4501.8999999999996</v>
      </c>
      <c r="AR27" s="17">
        <f t="shared" si="9"/>
        <v>4526.6000000000004</v>
      </c>
      <c r="AS27" s="17">
        <f t="shared" si="9"/>
        <v>4501.0999999999995</v>
      </c>
      <c r="AT27" s="17">
        <f t="shared" si="9"/>
        <v>4219.1000000000004</v>
      </c>
      <c r="AU27" s="17">
        <f t="shared" si="9"/>
        <v>4224.8999999999996</v>
      </c>
      <c r="AV27" s="17">
        <f t="shared" si="9"/>
        <v>4070.0000000000005</v>
      </c>
      <c r="AW27" s="17">
        <f t="shared" si="9"/>
        <v>3997.3</v>
      </c>
      <c r="AX27" s="17">
        <f t="shared" si="9"/>
        <v>4148.2</v>
      </c>
      <c r="AY27" s="17">
        <f t="shared" si="9"/>
        <v>4481.2000000000007</v>
      </c>
      <c r="AZ27" s="17">
        <f t="shared" si="9"/>
        <v>4605.4000000000005</v>
      </c>
      <c r="BA27" s="17">
        <f t="shared" si="9"/>
        <v>4594.2999999999993</v>
      </c>
      <c r="BB27" s="17">
        <f t="shared" si="9"/>
        <v>4800.3</v>
      </c>
      <c r="BC27" s="17">
        <f t="shared" si="9"/>
        <v>4982.7</v>
      </c>
      <c r="BD27" s="17">
        <f t="shared" si="9"/>
        <v>5323.1</v>
      </c>
      <c r="BE27" s="17">
        <f t="shared" si="9"/>
        <v>5453.0000000000009</v>
      </c>
      <c r="BF27" s="17">
        <f t="shared" si="9"/>
        <v>5865.2</v>
      </c>
      <c r="BG27" s="17">
        <f t="shared" si="9"/>
        <v>6162.6</v>
      </c>
      <c r="BH27" s="17">
        <f t="shared" si="9"/>
        <v>6376.5</v>
      </c>
      <c r="BI27" s="17">
        <f t="shared" si="9"/>
        <v>6453</v>
      </c>
      <c r="BJ27" s="17">
        <f t="shared" si="9"/>
        <v>6793.7000000000007</v>
      </c>
      <c r="BK27" s="17">
        <f t="shared" si="9"/>
        <v>7278.6</v>
      </c>
      <c r="BL27" s="17">
        <f t="shared" ref="BL27:BQ27" si="10">SUM(BL25:BL26)</f>
        <v>7488.8000000000011</v>
      </c>
      <c r="BM27" s="17">
        <f t="shared" si="10"/>
        <v>7457.5000000000009</v>
      </c>
      <c r="BN27" s="17">
        <f t="shared" si="10"/>
        <v>7450.0999999999995</v>
      </c>
      <c r="BO27" s="17">
        <f t="shared" si="10"/>
        <v>7236.1</v>
      </c>
      <c r="BP27" s="17">
        <f t="shared" si="10"/>
        <v>6725.2000000000007</v>
      </c>
      <c r="BQ27" s="17">
        <f t="shared" si="10"/>
        <v>6345.4000000000015</v>
      </c>
      <c r="BR27" s="17">
        <f>SUM(BR25:BR26)</f>
        <v>5944.6</v>
      </c>
      <c r="BS27" s="17">
        <f>SUM(BS25:BS26)</f>
        <v>5882.9000000000005</v>
      </c>
      <c r="BT27" s="17">
        <f>SUM(BT25:BT26)</f>
        <v>6076.9000000000005</v>
      </c>
      <c r="BU27" s="12"/>
      <c r="BW27" s="66"/>
    </row>
    <row r="28" spans="1:75" ht="13.5" customHeight="1" x14ac:dyDescent="0.2">
      <c r="A28" s="11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2"/>
    </row>
    <row r="29" spans="1:75" ht="13.5" customHeight="1" x14ac:dyDescent="0.2">
      <c r="A29" s="11"/>
      <c r="B29" s="60" t="s">
        <v>73</v>
      </c>
      <c r="C29" s="43"/>
      <c r="D29" s="43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12"/>
    </row>
    <row r="30" spans="1:75" ht="13.5" customHeight="1" x14ac:dyDescent="0.2">
      <c r="A30" s="11"/>
      <c r="C30" s="4" t="s">
        <v>74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2"/>
    </row>
    <row r="31" spans="1:75" ht="13.5" customHeight="1" x14ac:dyDescent="0.2">
      <c r="A31" s="11"/>
      <c r="D31" s="2" t="s">
        <v>75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v>4448</v>
      </c>
      <c r="P31" s="17">
        <v>4761</v>
      </c>
      <c r="Q31" s="17">
        <v>5045</v>
      </c>
      <c r="R31" s="17">
        <v>5235</v>
      </c>
      <c r="S31" s="17"/>
      <c r="T31" s="17"/>
      <c r="U31" s="17"/>
      <c r="V31" s="17"/>
      <c r="W31" s="17"/>
      <c r="X31" s="17">
        <v>4451</v>
      </c>
      <c r="Y31" s="17">
        <v>4752</v>
      </c>
      <c r="Z31" s="17">
        <v>4881</v>
      </c>
      <c r="AA31" s="17">
        <v>5214</v>
      </c>
      <c r="AB31" s="17">
        <v>5633</v>
      </c>
      <c r="AC31" s="17">
        <v>6182</v>
      </c>
      <c r="AD31" s="17">
        <v>7039</v>
      </c>
      <c r="AE31" s="17">
        <v>7207</v>
      </c>
      <c r="AF31" s="17">
        <v>7022</v>
      </c>
      <c r="AG31" s="17">
        <v>6423</v>
      </c>
      <c r="AH31" s="17">
        <v>5767</v>
      </c>
      <c r="AI31" s="17">
        <v>6091</v>
      </c>
      <c r="AJ31" s="17">
        <v>5874</v>
      </c>
      <c r="AK31" s="17">
        <v>5666</v>
      </c>
      <c r="AL31" s="17">
        <v>5527</v>
      </c>
      <c r="AM31" s="17">
        <v>5403</v>
      </c>
      <c r="AN31" s="17">
        <v>5512</v>
      </c>
      <c r="AO31" s="17">
        <v>5584</v>
      </c>
      <c r="AP31" s="17">
        <v>5544</v>
      </c>
      <c r="AQ31" s="17">
        <v>5321</v>
      </c>
      <c r="AR31" s="17">
        <v>5229</v>
      </c>
      <c r="AS31" s="17">
        <v>5157</v>
      </c>
      <c r="AT31" s="17">
        <v>4908</v>
      </c>
      <c r="AU31" s="17">
        <v>4819</v>
      </c>
      <c r="AV31" s="17">
        <v>4635</v>
      </c>
      <c r="AW31" s="17">
        <v>4481</v>
      </c>
      <c r="AX31" s="17">
        <v>4648</v>
      </c>
      <c r="AY31" s="17">
        <v>4936</v>
      </c>
      <c r="AZ31" s="17">
        <v>5065</v>
      </c>
      <c r="BA31" s="17">
        <v>4934</v>
      </c>
      <c r="BB31" s="17">
        <v>5100</v>
      </c>
      <c r="BC31" s="17">
        <v>5389</v>
      </c>
      <c r="BD31" s="17">
        <v>5636</v>
      </c>
      <c r="BE31" s="17">
        <v>5767</v>
      </c>
      <c r="BF31" s="17">
        <v>6153</v>
      </c>
      <c r="BG31" s="17">
        <v>6519</v>
      </c>
      <c r="BH31" s="17">
        <v>6658</v>
      </c>
      <c r="BI31" s="17">
        <v>6759</v>
      </c>
      <c r="BJ31" s="17">
        <v>7142</v>
      </c>
      <c r="BK31" s="17">
        <v>7574</v>
      </c>
      <c r="BL31" s="17">
        <v>7878</v>
      </c>
      <c r="BM31" s="17">
        <v>7938</v>
      </c>
      <c r="BN31" s="17">
        <v>7968</v>
      </c>
      <c r="BO31" s="17">
        <v>7738</v>
      </c>
      <c r="BP31" s="17">
        <v>7246</v>
      </c>
      <c r="BQ31" s="17">
        <v>6757</v>
      </c>
      <c r="BR31" s="17">
        <v>6419</v>
      </c>
      <c r="BS31" s="17">
        <v>6314</v>
      </c>
      <c r="BT31" s="17">
        <v>6454</v>
      </c>
      <c r="BU31" s="12"/>
    </row>
    <row r="32" spans="1:75" ht="13.5" customHeight="1" x14ac:dyDescent="0.2">
      <c r="A32" s="11"/>
      <c r="D32" s="2" t="s">
        <v>90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>
        <v>4031</v>
      </c>
      <c r="X32" s="17">
        <v>4412</v>
      </c>
      <c r="Y32" s="17">
        <v>4633</v>
      </c>
      <c r="Z32" s="17">
        <v>4752</v>
      </c>
      <c r="AA32" s="17">
        <v>5102</v>
      </c>
      <c r="AB32" s="17">
        <v>5479</v>
      </c>
      <c r="AC32" s="17">
        <v>5922</v>
      </c>
      <c r="AD32" s="17">
        <v>6668</v>
      </c>
      <c r="AE32" s="17">
        <v>6995</v>
      </c>
      <c r="AF32" s="17">
        <v>6643</v>
      </c>
      <c r="AG32" s="17">
        <v>5989</v>
      </c>
      <c r="AH32" s="17">
        <v>5334</v>
      </c>
      <c r="AI32" s="17">
        <v>4911</v>
      </c>
      <c r="AJ32" s="17">
        <v>4606</v>
      </c>
      <c r="AK32" s="17">
        <v>4425</v>
      </c>
      <c r="AL32" s="17">
        <v>4312</v>
      </c>
      <c r="AM32" s="17">
        <v>4198</v>
      </c>
      <c r="AN32" s="17">
        <v>4358</v>
      </c>
      <c r="AO32" s="17">
        <v>4499.3</v>
      </c>
      <c r="AP32" s="17">
        <v>4619.3999999999996</v>
      </c>
      <c r="AQ32" s="17">
        <v>4457.2</v>
      </c>
      <c r="AR32" s="17">
        <v>4455.3</v>
      </c>
      <c r="AS32" s="17">
        <v>4454.5</v>
      </c>
      <c r="AT32" s="17">
        <v>4185.3</v>
      </c>
      <c r="AU32" s="17">
        <v>4187.2</v>
      </c>
      <c r="AV32" s="17">
        <v>4038.7</v>
      </c>
      <c r="AW32" s="17">
        <v>3950.7</v>
      </c>
      <c r="AX32" s="17">
        <v>4057.1</v>
      </c>
      <c r="AY32" s="17">
        <v>4347.1000000000004</v>
      </c>
      <c r="AZ32" s="17">
        <v>4444.3999999999996</v>
      </c>
      <c r="BA32" s="17">
        <v>4384.2</v>
      </c>
      <c r="BB32" s="17">
        <v>4574.5</v>
      </c>
      <c r="BC32" s="17">
        <v>4811.8</v>
      </c>
      <c r="BD32" s="17">
        <v>5091.6000000000004</v>
      </c>
      <c r="BE32" s="17">
        <v>5206.6000000000004</v>
      </c>
      <c r="BF32" s="17">
        <v>5575.4</v>
      </c>
      <c r="BG32" s="17">
        <v>5864.9</v>
      </c>
      <c r="BH32" s="17">
        <v>5948.7</v>
      </c>
      <c r="BI32" s="17">
        <v>5994.6</v>
      </c>
      <c r="BJ32" s="17">
        <v>6278.9</v>
      </c>
      <c r="BK32" s="17">
        <v>6717.2</v>
      </c>
      <c r="BL32" s="17">
        <v>6949.3</v>
      </c>
      <c r="BM32" s="17">
        <v>6992.4</v>
      </c>
      <c r="BN32" s="17">
        <v>6966.6</v>
      </c>
      <c r="BO32" s="17">
        <v>6758.3</v>
      </c>
      <c r="BP32" s="17">
        <v>6298.3</v>
      </c>
      <c r="BQ32" s="17">
        <v>5908.9</v>
      </c>
      <c r="BR32" s="17">
        <v>5528</v>
      </c>
      <c r="BS32" s="17">
        <v>5490.9</v>
      </c>
      <c r="BT32" s="17">
        <v>5691.3</v>
      </c>
      <c r="BU32" s="12"/>
    </row>
    <row r="33" spans="1:73" ht="13.5" customHeight="1" x14ac:dyDescent="0.2">
      <c r="A33" s="11"/>
      <c r="C33" s="4" t="s">
        <v>76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2"/>
    </row>
    <row r="34" spans="1:73" ht="13.5" customHeight="1" x14ac:dyDescent="0.2">
      <c r="A34" s="11"/>
      <c r="D34" s="2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v>399</v>
      </c>
      <c r="P34" s="17">
        <v>503</v>
      </c>
      <c r="Q34" s="17">
        <v>733</v>
      </c>
      <c r="R34" s="17">
        <v>853</v>
      </c>
      <c r="S34" s="17"/>
      <c r="T34" s="17"/>
      <c r="U34" s="17"/>
      <c r="V34" s="17"/>
      <c r="W34" s="17"/>
      <c r="X34" s="17">
        <v>604</v>
      </c>
      <c r="Y34" s="17">
        <v>457</v>
      </c>
      <c r="Z34" s="17">
        <v>518</v>
      </c>
      <c r="AA34" s="17">
        <v>521</v>
      </c>
      <c r="AB34" s="17">
        <v>470</v>
      </c>
      <c r="AC34" s="17">
        <v>477</v>
      </c>
      <c r="AD34" s="17">
        <v>520</v>
      </c>
      <c r="AE34" s="17">
        <v>588</v>
      </c>
      <c r="AF34" s="17">
        <v>544</v>
      </c>
      <c r="AG34" s="17">
        <v>544</v>
      </c>
      <c r="AH34" s="17">
        <f>AH22-AH31</f>
        <v>677</v>
      </c>
      <c r="AI34" s="17">
        <v>227</v>
      </c>
      <c r="AJ34" s="17">
        <v>42</v>
      </c>
      <c r="AK34" s="17">
        <v>58</v>
      </c>
      <c r="AL34" s="17">
        <v>49</v>
      </c>
      <c r="AM34" s="17">
        <v>40</v>
      </c>
      <c r="AN34" s="17">
        <v>70</v>
      </c>
      <c r="AO34" s="17">
        <v>73</v>
      </c>
      <c r="AP34" s="17">
        <v>137</v>
      </c>
      <c r="AQ34" s="17">
        <v>151</v>
      </c>
      <c r="AR34" s="17">
        <v>197</v>
      </c>
      <c r="AS34" s="17">
        <v>107</v>
      </c>
      <c r="AT34" s="17">
        <v>68</v>
      </c>
      <c r="AU34" s="17">
        <v>99</v>
      </c>
      <c r="AV34" s="17">
        <v>80</v>
      </c>
      <c r="AW34" s="17">
        <v>145</v>
      </c>
      <c r="AX34" s="17">
        <v>235</v>
      </c>
      <c r="AY34" s="17">
        <v>304</v>
      </c>
      <c r="AZ34" s="17">
        <v>394</v>
      </c>
      <c r="BA34" s="17">
        <v>470</v>
      </c>
      <c r="BB34" s="17">
        <v>500</v>
      </c>
      <c r="BC34" s="17">
        <v>469</v>
      </c>
      <c r="BD34" s="17">
        <v>530</v>
      </c>
      <c r="BE34" s="17">
        <v>600</v>
      </c>
      <c r="BF34" s="17">
        <v>661</v>
      </c>
      <c r="BG34" s="17">
        <v>686</v>
      </c>
      <c r="BH34" s="17">
        <v>863</v>
      </c>
      <c r="BI34" s="17">
        <v>886</v>
      </c>
      <c r="BJ34" s="17">
        <v>987</v>
      </c>
      <c r="BK34" s="17">
        <v>1066</v>
      </c>
      <c r="BL34" s="17">
        <v>1008</v>
      </c>
      <c r="BM34" s="17">
        <v>897</v>
      </c>
      <c r="BN34" s="17">
        <v>915</v>
      </c>
      <c r="BO34" s="17">
        <v>863</v>
      </c>
      <c r="BP34" s="17">
        <v>842</v>
      </c>
      <c r="BQ34" s="17">
        <v>885</v>
      </c>
      <c r="BR34" s="17">
        <v>822</v>
      </c>
      <c r="BS34" s="17">
        <v>766</v>
      </c>
      <c r="BT34" s="17">
        <v>702</v>
      </c>
      <c r="BU34" s="12"/>
    </row>
    <row r="35" spans="1:73" ht="13.5" customHeight="1" x14ac:dyDescent="0.2">
      <c r="A35" s="11"/>
      <c r="D35" s="2" t="s">
        <v>90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>
        <v>68</v>
      </c>
      <c r="X35" s="17">
        <v>59</v>
      </c>
      <c r="Y35" s="17">
        <v>35</v>
      </c>
      <c r="Z35" s="17">
        <v>48</v>
      </c>
      <c r="AA35" s="17">
        <v>49</v>
      </c>
      <c r="AB35" s="17">
        <v>45</v>
      </c>
      <c r="AC35" s="17">
        <v>27</v>
      </c>
      <c r="AD35" s="17">
        <v>15</v>
      </c>
      <c r="AE35" s="17">
        <v>21</v>
      </c>
      <c r="AF35" s="17">
        <v>15</v>
      </c>
      <c r="AG35" s="17">
        <v>13</v>
      </c>
      <c r="AH35" s="17">
        <v>17</v>
      </c>
      <c r="AI35" s="17">
        <v>53</v>
      </c>
      <c r="AJ35" s="17">
        <v>13</v>
      </c>
      <c r="AK35" s="17">
        <v>16</v>
      </c>
      <c r="AL35" s="17">
        <v>16</v>
      </c>
      <c r="AM35" s="17">
        <v>9</v>
      </c>
      <c r="AN35" s="17">
        <v>15</v>
      </c>
      <c r="AO35" s="17">
        <v>17.8</v>
      </c>
      <c r="AP35" s="17">
        <v>36.6</v>
      </c>
      <c r="AQ35" s="17">
        <v>44.6</v>
      </c>
      <c r="AR35" s="17">
        <v>71.2</v>
      </c>
      <c r="AS35" s="17">
        <v>46.3</v>
      </c>
      <c r="AT35" s="17">
        <v>33.5</v>
      </c>
      <c r="AU35" s="17">
        <v>37.5</v>
      </c>
      <c r="AV35" s="17">
        <v>31.4</v>
      </c>
      <c r="AW35" s="17">
        <v>46.5</v>
      </c>
      <c r="AX35" s="17">
        <v>91</v>
      </c>
      <c r="AY35" s="17">
        <v>133.9</v>
      </c>
      <c r="AZ35" s="17">
        <v>160.30000000000001</v>
      </c>
      <c r="BA35" s="17">
        <v>209.9</v>
      </c>
      <c r="BB35" s="17">
        <v>225.4</v>
      </c>
      <c r="BC35" s="17">
        <v>170.7</v>
      </c>
      <c r="BD35" s="17">
        <v>231.3</v>
      </c>
      <c r="BE35" s="17">
        <v>246.3</v>
      </c>
      <c r="BF35" s="17">
        <v>289.89999999999998</v>
      </c>
      <c r="BG35" s="17">
        <v>297.2</v>
      </c>
      <c r="BH35" s="17">
        <v>427.7</v>
      </c>
      <c r="BI35" s="17">
        <v>458.3</v>
      </c>
      <c r="BJ35" s="17">
        <v>514.6</v>
      </c>
      <c r="BK35" s="17">
        <v>561.20000000000005</v>
      </c>
      <c r="BL35" s="17">
        <v>539</v>
      </c>
      <c r="BM35" s="17">
        <v>465</v>
      </c>
      <c r="BN35" s="17">
        <v>483.5</v>
      </c>
      <c r="BO35" s="17">
        <v>477.6</v>
      </c>
      <c r="BP35" s="17">
        <v>427</v>
      </c>
      <c r="BQ35" s="17">
        <v>436.3</v>
      </c>
      <c r="BR35" s="17">
        <v>417.6</v>
      </c>
      <c r="BS35" s="17">
        <v>391.9</v>
      </c>
      <c r="BT35" s="17">
        <v>385.6</v>
      </c>
      <c r="BU35" s="12"/>
    </row>
    <row r="36" spans="1:73" ht="13.5" customHeight="1" x14ac:dyDescent="0.2">
      <c r="A36" s="11"/>
      <c r="B36" s="20"/>
      <c r="C36" s="20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12"/>
    </row>
    <row r="37" spans="1:73" ht="13.5" customHeight="1" x14ac:dyDescent="0.2">
      <c r="A37" s="11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12"/>
    </row>
    <row r="38" spans="1:73" ht="13.5" customHeight="1" x14ac:dyDescent="0.2">
      <c r="A38" s="23"/>
      <c r="B38" s="72" t="s">
        <v>89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24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 t="s">
        <v>112</v>
      </c>
      <c r="BU38" s="26"/>
    </row>
    <row r="40" spans="1:73" ht="13.5" customHeight="1" x14ac:dyDescent="0.2">
      <c r="BF40" s="22"/>
    </row>
  </sheetData>
  <mergeCells count="2">
    <mergeCell ref="A2:BU2"/>
    <mergeCell ref="B38:BH38"/>
  </mergeCells>
  <hyperlinks>
    <hyperlink ref="B38" r:id="rId1" display="Source: IPEDS EF and DHE 02" xr:uid="{7000B659-1342-48CD-BD00-D388E5519D2D}"/>
    <hyperlink ref="B38:D38" r:id="rId2" display="Source: DHE 02, Fall Enrollment Supplement" xr:uid="{98F0FD69-D44D-4DF7-A630-29CCD1F7C698}"/>
    <hyperlink ref="B38:BH38" r:id="rId3" display="Source: DHE 02, Fall Enrollment Supplement" xr:uid="{388D529E-E09A-48A5-83D1-D9534EF47FDB}"/>
  </hyperlinks>
  <printOptions horizontalCentered="1"/>
  <pageMargins left="0.7" right="0.45" top="0.5" bottom="0.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43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28.7109375" style="2" customWidth="1"/>
    <col min="5" max="66" width="8.7109375" style="2" hidden="1" customWidth="1"/>
    <col min="67" max="72" width="8.7109375" style="2" customWidth="1"/>
    <col min="73" max="73" width="2.7109375" style="2" customWidth="1"/>
    <col min="74" max="16384" width="9.140625" style="1"/>
  </cols>
  <sheetData>
    <row r="1" spans="1:75" ht="13.5" customHeight="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75" ht="15" customHeight="1" x14ac:dyDescent="0.25">
      <c r="A2" s="46"/>
      <c r="B2" s="47" t="s">
        <v>0</v>
      </c>
      <c r="C2" s="47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9"/>
    </row>
    <row r="3" spans="1:75" ht="13.5" customHeight="1" x14ac:dyDescent="0.2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12"/>
    </row>
    <row r="4" spans="1:75" ht="15" customHeight="1" x14ac:dyDescent="0.25">
      <c r="A4" s="11"/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12"/>
    </row>
    <row r="5" spans="1:75" ht="15" customHeight="1" x14ac:dyDescent="0.25">
      <c r="A5" s="11"/>
      <c r="B5" s="8" t="s">
        <v>84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2"/>
    </row>
    <row r="6" spans="1:75" ht="13.5" customHeight="1" thickBot="1" x14ac:dyDescent="0.25">
      <c r="A6" s="11"/>
      <c r="BU6" s="12"/>
    </row>
    <row r="7" spans="1:75" ht="13.5" customHeight="1" thickTop="1" x14ac:dyDescent="0.2">
      <c r="A7" s="11"/>
      <c r="B7" s="13"/>
      <c r="C7" s="13"/>
      <c r="D7" s="13"/>
      <c r="E7" s="30"/>
      <c r="F7" s="30"/>
      <c r="G7" s="30"/>
      <c r="H7" s="30"/>
      <c r="I7" s="30"/>
      <c r="J7" s="30"/>
      <c r="K7" s="30"/>
      <c r="L7" s="30"/>
      <c r="M7" s="30"/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35</v>
      </c>
      <c r="AL7" s="14" t="s">
        <v>36</v>
      </c>
      <c r="AM7" s="14" t="s">
        <v>37</v>
      </c>
      <c r="AN7" s="14" t="s">
        <v>38</v>
      </c>
      <c r="AO7" s="31" t="s">
        <v>39</v>
      </c>
      <c r="AP7" s="31" t="s">
        <v>40</v>
      </c>
      <c r="AQ7" s="31" t="s">
        <v>41</v>
      </c>
      <c r="AR7" s="31" t="s">
        <v>42</v>
      </c>
      <c r="AS7" s="31" t="s">
        <v>43</v>
      </c>
      <c r="AT7" s="31" t="s">
        <v>44</v>
      </c>
      <c r="AU7" s="31" t="s">
        <v>45</v>
      </c>
      <c r="AV7" s="31" t="s">
        <v>46</v>
      </c>
      <c r="AW7" s="31" t="s">
        <v>47</v>
      </c>
      <c r="AX7" s="31" t="s">
        <v>48</v>
      </c>
      <c r="AY7" s="31" t="s">
        <v>49</v>
      </c>
      <c r="AZ7" s="14" t="s">
        <v>50</v>
      </c>
      <c r="BA7" s="14" t="s">
        <v>51</v>
      </c>
      <c r="BB7" s="14" t="s">
        <v>52</v>
      </c>
      <c r="BC7" s="14" t="s">
        <v>53</v>
      </c>
      <c r="BD7" s="14" t="s">
        <v>54</v>
      </c>
      <c r="BE7" s="14" t="s">
        <v>55</v>
      </c>
      <c r="BF7" s="14" t="s">
        <v>56</v>
      </c>
      <c r="BG7" s="14" t="s">
        <v>57</v>
      </c>
      <c r="BH7" s="14" t="s">
        <v>58</v>
      </c>
      <c r="BI7" s="14" t="s">
        <v>59</v>
      </c>
      <c r="BJ7" s="14" t="s">
        <v>60</v>
      </c>
      <c r="BK7" s="14" t="s">
        <v>93</v>
      </c>
      <c r="BL7" s="14" t="s">
        <v>94</v>
      </c>
      <c r="BM7" s="14" t="s">
        <v>95</v>
      </c>
      <c r="BN7" s="14" t="s">
        <v>96</v>
      </c>
      <c r="BO7" s="14" t="s">
        <v>97</v>
      </c>
      <c r="BP7" s="14" t="s">
        <v>102</v>
      </c>
      <c r="BQ7" s="14" t="s">
        <v>103</v>
      </c>
      <c r="BR7" s="14" t="s">
        <v>104</v>
      </c>
      <c r="BS7" s="14" t="s">
        <v>105</v>
      </c>
      <c r="BT7" s="14" t="s">
        <v>111</v>
      </c>
      <c r="BU7" s="12"/>
    </row>
    <row r="8" spans="1:75" ht="13.5" customHeight="1" x14ac:dyDescent="0.2">
      <c r="A8" s="11"/>
      <c r="E8" s="50"/>
      <c r="F8" s="50"/>
      <c r="G8" s="50"/>
      <c r="H8" s="50"/>
      <c r="I8" s="50"/>
      <c r="J8" s="50"/>
      <c r="K8" s="50"/>
      <c r="L8" s="50"/>
      <c r="M8" s="5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51"/>
      <c r="AU8" s="51"/>
      <c r="AV8" s="51"/>
      <c r="AW8" s="51"/>
      <c r="AX8" s="51"/>
      <c r="AY8" s="51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2"/>
    </row>
    <row r="9" spans="1:75" ht="13.5" customHeight="1" x14ac:dyDescent="0.2">
      <c r="A9" s="11"/>
      <c r="B9" s="61" t="s">
        <v>61</v>
      </c>
      <c r="C9" s="53"/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12"/>
    </row>
    <row r="10" spans="1:75" ht="13.5" customHeight="1" x14ac:dyDescent="0.2">
      <c r="A10" s="11"/>
      <c r="C10" s="4" t="s">
        <v>62</v>
      </c>
      <c r="E10" s="36"/>
      <c r="F10" s="36"/>
      <c r="G10" s="36"/>
      <c r="H10" s="36"/>
      <c r="I10" s="36"/>
      <c r="J10" s="36"/>
      <c r="K10" s="36"/>
      <c r="L10" s="36"/>
      <c r="M10" s="3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2"/>
    </row>
    <row r="11" spans="1:75" ht="13.5" customHeight="1" x14ac:dyDescent="0.2">
      <c r="A11" s="11"/>
      <c r="D11" s="2" t="s">
        <v>91</v>
      </c>
      <c r="E11" s="36"/>
      <c r="F11" s="36"/>
      <c r="G11" s="36"/>
      <c r="H11" s="36"/>
      <c r="I11" s="36"/>
      <c r="J11" s="36"/>
      <c r="K11" s="36"/>
      <c r="L11" s="36"/>
      <c r="M11" s="36"/>
      <c r="N11" s="17"/>
      <c r="O11" s="17"/>
      <c r="P11" s="17">
        <f>1215+264</f>
        <v>1479</v>
      </c>
      <c r="Q11" s="17">
        <f>1440+248</f>
        <v>1688</v>
      </c>
      <c r="R11" s="17">
        <f>1663+208</f>
        <v>1871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1169</v>
      </c>
      <c r="AH11" s="17">
        <v>1055</v>
      </c>
      <c r="AI11" s="17">
        <v>1021</v>
      </c>
      <c r="AJ11" s="17">
        <v>1026</v>
      </c>
      <c r="AK11" s="17">
        <v>978</v>
      </c>
      <c r="AL11" s="17">
        <v>948</v>
      </c>
      <c r="AM11" s="17">
        <v>941</v>
      </c>
      <c r="AN11" s="17">
        <v>757</v>
      </c>
      <c r="AO11" s="17">
        <f>465+10+56+2</f>
        <v>533</v>
      </c>
      <c r="AP11" s="17">
        <f>440+18+104+7</f>
        <v>569</v>
      </c>
      <c r="AQ11" s="17">
        <f>496+34+133+6</f>
        <v>669</v>
      </c>
      <c r="AR11" s="17">
        <f>519+33+159+4</f>
        <v>715</v>
      </c>
      <c r="AS11" s="17">
        <f>600+32+130+6</f>
        <v>768</v>
      </c>
      <c r="AT11" s="17">
        <f>423+35+234+6</f>
        <v>698</v>
      </c>
      <c r="AU11" s="17">
        <f>498+31+161+5</f>
        <v>695</v>
      </c>
      <c r="AV11" s="17">
        <f>494+45+111+5</f>
        <v>655</v>
      </c>
      <c r="AW11" s="17">
        <f>446+52+111+11</f>
        <v>620</v>
      </c>
      <c r="AX11" s="17">
        <f>455+61+114+4</f>
        <v>634</v>
      </c>
      <c r="AY11" s="17">
        <f>368+58+88+5</f>
        <v>519</v>
      </c>
      <c r="AZ11" s="17">
        <f>408+58+63+5</f>
        <v>534</v>
      </c>
      <c r="BA11" s="17">
        <f>342+57+45+5</f>
        <v>449</v>
      </c>
      <c r="BB11" s="17">
        <f>431+67+31+2</f>
        <v>531</v>
      </c>
      <c r="BC11" s="17">
        <f>389+88+44+4</f>
        <v>525</v>
      </c>
      <c r="BD11" s="17">
        <f>395+67+34+2</f>
        <v>498</v>
      </c>
      <c r="BE11" s="17">
        <f>369+69+28+2</f>
        <v>468</v>
      </c>
      <c r="BF11" s="17">
        <f>418+76+28+3</f>
        <v>525</v>
      </c>
      <c r="BG11" s="17">
        <f>420+59+18</f>
        <v>497</v>
      </c>
      <c r="BH11" s="17">
        <f>390+90+19+5</f>
        <v>504</v>
      </c>
      <c r="BI11" s="17">
        <f>432+101+10+3</f>
        <v>546</v>
      </c>
      <c r="BJ11" s="17">
        <f>366+98+16+2</f>
        <v>482</v>
      </c>
      <c r="BK11" s="17">
        <f>400+97+15+1</f>
        <v>513</v>
      </c>
      <c r="BL11" s="17">
        <f>397+104+14+1</f>
        <v>516</v>
      </c>
      <c r="BM11" s="17">
        <f>354+61+23+2</f>
        <v>440</v>
      </c>
      <c r="BN11" s="17">
        <f>385+84+12+1</f>
        <v>482</v>
      </c>
      <c r="BO11" s="17">
        <f>342+123+18+2</f>
        <v>485</v>
      </c>
      <c r="BP11" s="17">
        <f>344+92+10+1</f>
        <v>447</v>
      </c>
      <c r="BQ11" s="17">
        <f>335+63+13+6</f>
        <v>417</v>
      </c>
      <c r="BR11" s="17">
        <f>210+61+19+6</f>
        <v>296</v>
      </c>
      <c r="BS11" s="17">
        <f>321+94+27+1</f>
        <v>443</v>
      </c>
      <c r="BT11" s="17">
        <f>326+108+27+3</f>
        <v>464</v>
      </c>
      <c r="BU11" s="12"/>
    </row>
    <row r="12" spans="1:75" ht="13.5" customHeight="1" x14ac:dyDescent="0.2">
      <c r="A12" s="11"/>
      <c r="D12" s="2" t="s">
        <v>63</v>
      </c>
      <c r="E12" s="36"/>
      <c r="F12" s="36"/>
      <c r="G12" s="36"/>
      <c r="H12" s="36"/>
      <c r="I12" s="36"/>
      <c r="J12" s="36"/>
      <c r="K12" s="36"/>
      <c r="L12" s="36"/>
      <c r="M12" s="3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8605</v>
      </c>
      <c r="AH12" s="17">
        <f>3036+5504</f>
        <v>8540</v>
      </c>
      <c r="AI12" s="17">
        <v>8814</v>
      </c>
      <c r="AJ12" s="17">
        <v>8878</v>
      </c>
      <c r="AK12" s="17">
        <v>9005</v>
      </c>
      <c r="AL12" s="17">
        <v>9478</v>
      </c>
      <c r="AM12" s="17"/>
      <c r="AN12" s="17"/>
      <c r="AO12" s="17">
        <f>4141+145+4309+58</f>
        <v>8653</v>
      </c>
      <c r="AP12" s="17">
        <f>4112+181+4071+89</f>
        <v>8453</v>
      </c>
      <c r="AQ12" s="17">
        <f>4157+323+3740+92</f>
        <v>8312</v>
      </c>
      <c r="AR12" s="17">
        <f>4028+362+3811+94</f>
        <v>8295</v>
      </c>
      <c r="AS12" s="17">
        <f>4038+318+3807+113</f>
        <v>8276</v>
      </c>
      <c r="AT12" s="17">
        <f>3984+317+3757+116</f>
        <v>8174</v>
      </c>
      <c r="AU12" s="17">
        <f>4191+343+3849+129</f>
        <v>8512</v>
      </c>
      <c r="AV12" s="17">
        <f>4348+331+3691+93</f>
        <v>8463</v>
      </c>
      <c r="AW12" s="17">
        <f>4388+372+3660+122</f>
        <v>8542</v>
      </c>
      <c r="AX12" s="17">
        <f>4488+359+3583+100</f>
        <v>8530</v>
      </c>
      <c r="AY12" s="17">
        <f>4682+401+3377+130</f>
        <v>8590</v>
      </c>
      <c r="AZ12" s="17">
        <f>4611+471+3283+175</f>
        <v>8540</v>
      </c>
      <c r="BA12" s="17">
        <f>4594+510+3181+170</f>
        <v>8455</v>
      </c>
      <c r="BB12" s="17">
        <f>4711+541+3164+202</f>
        <v>8618</v>
      </c>
      <c r="BC12" s="17">
        <f>4636+527+2986+198</f>
        <v>8347</v>
      </c>
      <c r="BD12" s="17">
        <f>4753+576+2915+204</f>
        <v>8448</v>
      </c>
      <c r="BE12" s="17">
        <f>4646+551+2829+184</f>
        <v>8210</v>
      </c>
      <c r="BF12" s="17">
        <f>4782+593+2856+173</f>
        <v>8404</v>
      </c>
      <c r="BG12" s="17">
        <f>4818+611+2979+167</f>
        <v>8575</v>
      </c>
      <c r="BH12" s="17">
        <f>4741+607+3018+161</f>
        <v>8527</v>
      </c>
      <c r="BI12" s="17">
        <f>4730+622+2897+186</f>
        <v>8435</v>
      </c>
      <c r="BJ12" s="17">
        <f>4700+637+2920+189</f>
        <v>8446</v>
      </c>
      <c r="BK12" s="17">
        <f>4705+645+2896+177</f>
        <v>8423</v>
      </c>
      <c r="BL12" s="17">
        <f>4428+612+2565+154</f>
        <v>7759</v>
      </c>
      <c r="BM12" s="17">
        <f>4257+577+2287+175</f>
        <v>7296</v>
      </c>
      <c r="BN12" s="17">
        <f>4201+575+1963+141</f>
        <v>6880</v>
      </c>
      <c r="BO12" s="17">
        <f>4112+531+1854+154</f>
        <v>6651</v>
      </c>
      <c r="BP12" s="17">
        <f>3851+513+1745+147</f>
        <v>6256</v>
      </c>
      <c r="BQ12" s="17">
        <f>3740+525+1574+131</f>
        <v>5970</v>
      </c>
      <c r="BR12" s="17">
        <f>3336+446+1512+128</f>
        <v>5422</v>
      </c>
      <c r="BS12" s="17">
        <f>3049+392+1385+109</f>
        <v>4935</v>
      </c>
      <c r="BT12" s="17">
        <f>2951+397+1195+101</f>
        <v>4644</v>
      </c>
      <c r="BU12" s="12"/>
    </row>
    <row r="13" spans="1:75" ht="13.5" customHeight="1" x14ac:dyDescent="0.2">
      <c r="A13" s="11"/>
      <c r="D13" s="2" t="s">
        <v>92</v>
      </c>
      <c r="E13" s="36"/>
      <c r="F13" s="36"/>
      <c r="G13" s="36"/>
      <c r="H13" s="36"/>
      <c r="I13" s="36"/>
      <c r="J13" s="36"/>
      <c r="K13" s="36"/>
      <c r="L13" s="36"/>
      <c r="M13" s="3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2742</v>
      </c>
      <c r="AP13" s="17">
        <v>3250</v>
      </c>
      <c r="AQ13" s="17">
        <v>3178</v>
      </c>
      <c r="AR13" s="17">
        <v>3477</v>
      </c>
      <c r="AS13" s="17">
        <v>3687</v>
      </c>
      <c r="AT13" s="17">
        <v>3508</v>
      </c>
      <c r="AU13" s="17">
        <v>3523</v>
      </c>
      <c r="AV13" s="17">
        <v>3280</v>
      </c>
      <c r="AW13" s="17">
        <v>3007</v>
      </c>
      <c r="AX13" s="17">
        <v>2612</v>
      </c>
      <c r="AY13" s="17">
        <v>3206</v>
      </c>
      <c r="AZ13" s="17">
        <v>3304</v>
      </c>
      <c r="BA13" s="17">
        <v>3432</v>
      </c>
      <c r="BB13" s="17">
        <v>3207</v>
      </c>
      <c r="BC13" s="17">
        <v>3312</v>
      </c>
      <c r="BD13" s="17">
        <v>3205</v>
      </c>
      <c r="BE13" s="17">
        <v>3009</v>
      </c>
      <c r="BF13" s="17">
        <v>3639</v>
      </c>
      <c r="BG13" s="17">
        <v>3688</v>
      </c>
      <c r="BH13" s="17">
        <v>3681</v>
      </c>
      <c r="BI13" s="17">
        <v>3983</v>
      </c>
      <c r="BJ13" s="17">
        <v>4258</v>
      </c>
      <c r="BK13" s="17">
        <v>4534</v>
      </c>
      <c r="BL13" s="17">
        <v>4896</v>
      </c>
      <c r="BM13" s="17">
        <v>5841</v>
      </c>
      <c r="BN13" s="17">
        <v>6150</v>
      </c>
      <c r="BO13" s="17">
        <v>6009</v>
      </c>
      <c r="BP13" s="17">
        <v>6046</v>
      </c>
      <c r="BQ13" s="17">
        <v>4248</v>
      </c>
      <c r="BR13" s="17">
        <v>6339</v>
      </c>
      <c r="BS13" s="17">
        <v>6769</v>
      </c>
      <c r="BT13" s="17">
        <v>6792</v>
      </c>
      <c r="BU13" s="12"/>
    </row>
    <row r="14" spans="1:75" ht="13.5" customHeight="1" x14ac:dyDescent="0.2">
      <c r="A14" s="11"/>
      <c r="D14" s="2" t="s">
        <v>64</v>
      </c>
      <c r="E14" s="36"/>
      <c r="F14" s="36"/>
      <c r="G14" s="36"/>
      <c r="H14" s="36"/>
      <c r="I14" s="36"/>
      <c r="J14" s="36"/>
      <c r="K14" s="36"/>
      <c r="L14" s="36"/>
      <c r="M14" s="36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0</v>
      </c>
      <c r="AH14" s="18">
        <v>0</v>
      </c>
      <c r="AI14" s="18">
        <v>446</v>
      </c>
      <c r="AJ14" s="18">
        <v>1060</v>
      </c>
      <c r="AK14" s="18">
        <v>1670</v>
      </c>
      <c r="AL14" s="18">
        <v>1700</v>
      </c>
      <c r="AM14" s="18"/>
      <c r="AN14" s="18"/>
      <c r="AO14" s="18">
        <f>37+1+2988+34-2742</f>
        <v>318</v>
      </c>
      <c r="AP14" s="18">
        <f>49+1+3549+41-3250</f>
        <v>390</v>
      </c>
      <c r="AQ14" s="18">
        <f>82+24+3609+40-3178</f>
        <v>577</v>
      </c>
      <c r="AR14" s="18">
        <f>61+8+3889+34-3477</f>
        <v>515</v>
      </c>
      <c r="AS14" s="18">
        <f>90+4+4048+44-3687</f>
        <v>499</v>
      </c>
      <c r="AT14" s="18">
        <f>86+8+3821+57-3508</f>
        <v>464</v>
      </c>
      <c r="AU14" s="18">
        <f>101+20+3781+78-3523</f>
        <v>457</v>
      </c>
      <c r="AV14" s="18">
        <f>146+19+3643+60-3280</f>
        <v>588</v>
      </c>
      <c r="AW14" s="18">
        <f>137+7+3358+73-3007</f>
        <v>568</v>
      </c>
      <c r="AX14" s="18">
        <f>112+11+2912+52-2612</f>
        <v>475</v>
      </c>
      <c r="AY14" s="18">
        <f>127+7+3431+41-3206</f>
        <v>400</v>
      </c>
      <c r="AZ14" s="18">
        <f>82+1+3433+34-3304</f>
        <v>246</v>
      </c>
      <c r="BA14" s="18">
        <f>65+1+3555+47-3432</f>
        <v>236</v>
      </c>
      <c r="BB14" s="18">
        <f>91+46+3271+49-3207</f>
        <v>250</v>
      </c>
      <c r="BC14" s="18">
        <f>107+47+3397+36-3312</f>
        <v>275</v>
      </c>
      <c r="BD14" s="18">
        <f>101+51+3305+29-3205</f>
        <v>281</v>
      </c>
      <c r="BE14" s="18">
        <f>107+57+3483+33-3009</f>
        <v>671</v>
      </c>
      <c r="BF14" s="18">
        <f>117+42+3845+33-3639</f>
        <v>398</v>
      </c>
      <c r="BG14" s="18">
        <f>139+40+3891+29-3688</f>
        <v>411</v>
      </c>
      <c r="BH14" s="18">
        <f>147+39+3897+37-3681</f>
        <v>439</v>
      </c>
      <c r="BI14" s="18">
        <f>148+36+4142+28-3983</f>
        <v>371</v>
      </c>
      <c r="BJ14" s="18">
        <f>191+43+4383+24-4258</f>
        <v>383</v>
      </c>
      <c r="BK14" s="18">
        <f>175+49+4678+36-4534</f>
        <v>404</v>
      </c>
      <c r="BL14" s="18">
        <f>138+32+5071+29-4896</f>
        <v>374</v>
      </c>
      <c r="BM14" s="18">
        <f>159+26+5938+39-5841</f>
        <v>321</v>
      </c>
      <c r="BN14" s="18">
        <f>226+21+6152+26-6150</f>
        <v>275</v>
      </c>
      <c r="BO14" s="18">
        <f>254+21+6021+28-6009</f>
        <v>315</v>
      </c>
      <c r="BP14" s="18">
        <f>278+20+5964+61-6046</f>
        <v>277</v>
      </c>
      <c r="BQ14" s="18">
        <f>224+2+4311+49-4248</f>
        <v>338</v>
      </c>
      <c r="BR14" s="18">
        <f>338+24+6211+56-6339</f>
        <v>290</v>
      </c>
      <c r="BS14" s="18">
        <f>312+27+6643+55-6769</f>
        <v>268</v>
      </c>
      <c r="BT14" s="18">
        <f>391+25+6577+36-6792</f>
        <v>237</v>
      </c>
      <c r="BU14" s="12"/>
      <c r="BW14" s="17"/>
    </row>
    <row r="15" spans="1:75" ht="13.5" customHeight="1" x14ac:dyDescent="0.2">
      <c r="A15" s="11"/>
      <c r="E15" s="36"/>
      <c r="F15" s="36"/>
      <c r="G15" s="36"/>
      <c r="H15" s="36"/>
      <c r="I15" s="36"/>
      <c r="J15" s="36"/>
      <c r="K15" s="36"/>
      <c r="L15" s="36"/>
      <c r="M15" s="36"/>
      <c r="N15" s="17">
        <v>4758</v>
      </c>
      <c r="O15" s="17">
        <v>5803</v>
      </c>
      <c r="P15" s="17">
        <v>6558</v>
      </c>
      <c r="Q15" s="17">
        <v>7457</v>
      </c>
      <c r="R15" s="17">
        <v>8538</v>
      </c>
      <c r="S15" s="17">
        <v>8492</v>
      </c>
      <c r="T15" s="17"/>
      <c r="U15" s="17">
        <v>10002</v>
      </c>
      <c r="V15" s="17"/>
      <c r="W15" s="17">
        <v>10096</v>
      </c>
      <c r="X15" s="17"/>
      <c r="Y15" s="17">
        <v>10187</v>
      </c>
      <c r="Z15" s="17"/>
      <c r="AA15" s="17">
        <v>9505</v>
      </c>
      <c r="AB15" s="17">
        <v>9628</v>
      </c>
      <c r="AC15" s="17">
        <v>9780</v>
      </c>
      <c r="AD15" s="17">
        <v>10358</v>
      </c>
      <c r="AE15" s="17">
        <v>10228</v>
      </c>
      <c r="AF15" s="17">
        <v>10041</v>
      </c>
      <c r="AG15" s="17">
        <f t="shared" ref="AG15:AL15" si="0">SUM(AG11:AG14)</f>
        <v>9774</v>
      </c>
      <c r="AH15" s="17">
        <f t="shared" si="0"/>
        <v>9595</v>
      </c>
      <c r="AI15" s="17">
        <f t="shared" si="0"/>
        <v>10281</v>
      </c>
      <c r="AJ15" s="17">
        <f t="shared" si="0"/>
        <v>10964</v>
      </c>
      <c r="AK15" s="17">
        <f t="shared" si="0"/>
        <v>11653</v>
      </c>
      <c r="AL15" s="17">
        <f t="shared" si="0"/>
        <v>12126</v>
      </c>
      <c r="AM15" s="17">
        <v>12772</v>
      </c>
      <c r="AN15" s="17">
        <v>12855</v>
      </c>
      <c r="AO15" s="17">
        <f t="shared" ref="AO15:BJ15" si="1">SUM(AO11:AO14)</f>
        <v>12246</v>
      </c>
      <c r="AP15" s="17">
        <f t="shared" si="1"/>
        <v>12662</v>
      </c>
      <c r="AQ15" s="17">
        <f t="shared" si="1"/>
        <v>12736</v>
      </c>
      <c r="AR15" s="17">
        <f t="shared" si="1"/>
        <v>13002</v>
      </c>
      <c r="AS15" s="17">
        <f t="shared" si="1"/>
        <v>13230</v>
      </c>
      <c r="AT15" s="17">
        <f t="shared" si="1"/>
        <v>12844</v>
      </c>
      <c r="AU15" s="17">
        <f t="shared" si="1"/>
        <v>13187</v>
      </c>
      <c r="AV15" s="17">
        <f t="shared" si="1"/>
        <v>12986</v>
      </c>
      <c r="AW15" s="17">
        <f t="shared" si="1"/>
        <v>12737</v>
      </c>
      <c r="AX15" s="17">
        <f t="shared" si="1"/>
        <v>12251</v>
      </c>
      <c r="AY15" s="17">
        <f t="shared" si="1"/>
        <v>12715</v>
      </c>
      <c r="AZ15" s="17">
        <f t="shared" si="1"/>
        <v>12624</v>
      </c>
      <c r="BA15" s="17">
        <f t="shared" si="1"/>
        <v>12572</v>
      </c>
      <c r="BB15" s="17">
        <f t="shared" si="1"/>
        <v>12606</v>
      </c>
      <c r="BC15" s="17">
        <f t="shared" si="1"/>
        <v>12459</v>
      </c>
      <c r="BD15" s="17">
        <f t="shared" si="1"/>
        <v>12432</v>
      </c>
      <c r="BE15" s="17">
        <f t="shared" si="1"/>
        <v>12358</v>
      </c>
      <c r="BF15" s="17">
        <f t="shared" si="1"/>
        <v>12966</v>
      </c>
      <c r="BG15" s="17">
        <f t="shared" si="1"/>
        <v>13171</v>
      </c>
      <c r="BH15" s="17">
        <f t="shared" si="1"/>
        <v>13151</v>
      </c>
      <c r="BI15" s="17">
        <f t="shared" si="1"/>
        <v>13335</v>
      </c>
      <c r="BJ15" s="17">
        <f t="shared" si="1"/>
        <v>13569</v>
      </c>
      <c r="BK15" s="17">
        <f t="shared" ref="BK15:BS15" si="2">SUM(BK11:BK14)</f>
        <v>13874</v>
      </c>
      <c r="BL15" s="17">
        <f t="shared" si="2"/>
        <v>13545</v>
      </c>
      <c r="BM15" s="17">
        <f t="shared" si="2"/>
        <v>13898</v>
      </c>
      <c r="BN15" s="17">
        <f t="shared" si="2"/>
        <v>13787</v>
      </c>
      <c r="BO15" s="17">
        <f t="shared" si="2"/>
        <v>13460</v>
      </c>
      <c r="BP15" s="17">
        <f t="shared" si="2"/>
        <v>13026</v>
      </c>
      <c r="BQ15" s="17">
        <f t="shared" si="2"/>
        <v>10973</v>
      </c>
      <c r="BR15" s="17">
        <f t="shared" si="2"/>
        <v>12347</v>
      </c>
      <c r="BS15" s="17">
        <f t="shared" si="2"/>
        <v>12415</v>
      </c>
      <c r="BT15" s="17">
        <f t="shared" ref="BT15" si="3">SUM(BT11:BT14)</f>
        <v>12137</v>
      </c>
      <c r="BU15" s="12"/>
    </row>
    <row r="16" spans="1:75" ht="13.5" customHeight="1" x14ac:dyDescent="0.2">
      <c r="A16" s="11"/>
      <c r="C16" s="4" t="s">
        <v>65</v>
      </c>
      <c r="E16" s="36"/>
      <c r="F16" s="36"/>
      <c r="G16" s="36"/>
      <c r="H16" s="36"/>
      <c r="I16" s="36"/>
      <c r="J16" s="36"/>
      <c r="K16" s="36"/>
      <c r="L16" s="36"/>
      <c r="M16" s="3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2"/>
    </row>
    <row r="17" spans="1:73" ht="13.5" customHeight="1" x14ac:dyDescent="0.2">
      <c r="A17" s="11"/>
      <c r="D17" s="2" t="s">
        <v>85</v>
      </c>
      <c r="E17" s="36"/>
      <c r="F17" s="36"/>
      <c r="G17" s="36"/>
      <c r="H17" s="36"/>
      <c r="I17" s="36"/>
      <c r="J17" s="36"/>
      <c r="K17" s="36"/>
      <c r="L17" s="36"/>
      <c r="M17" s="36"/>
      <c r="N17" s="17"/>
      <c r="O17" s="17"/>
      <c r="P17" s="17"/>
      <c r="Q17" s="17"/>
      <c r="R17" s="17"/>
      <c r="S17" s="16"/>
      <c r="T17" s="16"/>
      <c r="U17" s="16"/>
      <c r="V17" s="16"/>
      <c r="W17" s="16"/>
      <c r="X17" s="16"/>
      <c r="Y17" s="16"/>
      <c r="Z17" s="16"/>
      <c r="AA17" s="16"/>
      <c r="AB17" s="17">
        <v>0</v>
      </c>
      <c r="AC17" s="17">
        <v>36</v>
      </c>
      <c r="AD17" s="17">
        <v>63</v>
      </c>
      <c r="AE17" s="17">
        <v>89</v>
      </c>
      <c r="AF17" s="17">
        <v>121</v>
      </c>
      <c r="AG17" s="17">
        <v>117</v>
      </c>
      <c r="AH17" s="17">
        <v>132</v>
      </c>
      <c r="AI17" s="17">
        <v>141</v>
      </c>
      <c r="AJ17" s="17">
        <v>152</v>
      </c>
      <c r="AK17" s="17">
        <v>160</v>
      </c>
      <c r="AL17" s="17">
        <v>156</v>
      </c>
      <c r="AM17" s="17">
        <v>157</v>
      </c>
      <c r="AN17" s="17">
        <v>156</v>
      </c>
      <c r="AO17" s="17">
        <f>91+66+0+0</f>
        <v>157</v>
      </c>
      <c r="AP17" s="17">
        <f>95+62+0+0</f>
        <v>157</v>
      </c>
      <c r="AQ17" s="17">
        <f>95+60+0+0</f>
        <v>155</v>
      </c>
      <c r="AR17" s="17">
        <f>99+61+0+0</f>
        <v>160</v>
      </c>
      <c r="AS17" s="17">
        <f>92+71+0+0</f>
        <v>163</v>
      </c>
      <c r="AT17" s="17">
        <f>87+81+0+0</f>
        <v>168</v>
      </c>
      <c r="AU17" s="17">
        <f>89+84+0+0</f>
        <v>173</v>
      </c>
      <c r="AV17" s="17">
        <f>84+89+0+0</f>
        <v>173</v>
      </c>
      <c r="AW17" s="17">
        <f>82+87+0+0</f>
        <v>169</v>
      </c>
      <c r="AX17" s="17">
        <f>89+74+0+0</f>
        <v>163</v>
      </c>
      <c r="AY17" s="17">
        <f>92+66+0+0</f>
        <v>158</v>
      </c>
      <c r="AZ17" s="17">
        <f>90+69+0+0</f>
        <v>159</v>
      </c>
      <c r="BA17" s="17">
        <f>99+66</f>
        <v>165</v>
      </c>
      <c r="BB17" s="17">
        <f>87+77</f>
        <v>164</v>
      </c>
      <c r="BC17" s="17">
        <f>83+93</f>
        <v>176</v>
      </c>
      <c r="BD17" s="17">
        <f>86+85</f>
        <v>171</v>
      </c>
      <c r="BE17" s="17">
        <f>89+89</f>
        <v>178</v>
      </c>
      <c r="BF17" s="17">
        <f>86+93</f>
        <v>179</v>
      </c>
      <c r="BG17" s="17">
        <f>74+97</f>
        <v>171</v>
      </c>
      <c r="BH17" s="17">
        <f>65+107</f>
        <v>172</v>
      </c>
      <c r="BI17" s="17">
        <f>60+108</f>
        <v>168</v>
      </c>
      <c r="BJ17" s="17">
        <f>64+108</f>
        <v>172</v>
      </c>
      <c r="BK17" s="17">
        <f>70+106</f>
        <v>176</v>
      </c>
      <c r="BL17" s="17">
        <f>75+97</f>
        <v>172</v>
      </c>
      <c r="BM17" s="17">
        <f>79+89</f>
        <v>168</v>
      </c>
      <c r="BN17" s="17">
        <f>82+90</f>
        <v>172</v>
      </c>
      <c r="BO17" s="17">
        <f>78+97</f>
        <v>175</v>
      </c>
      <c r="BP17" s="17">
        <f>77+103+1</f>
        <v>181</v>
      </c>
      <c r="BQ17" s="17">
        <f>71+106</f>
        <v>177</v>
      </c>
      <c r="BR17" s="17">
        <f>65+106</f>
        <v>171</v>
      </c>
      <c r="BS17" s="17">
        <f>81+92</f>
        <v>173</v>
      </c>
      <c r="BT17" s="17">
        <f>78+99</f>
        <v>177</v>
      </c>
      <c r="BU17" s="12"/>
    </row>
    <row r="18" spans="1:73" ht="13.5" customHeight="1" x14ac:dyDescent="0.2">
      <c r="A18" s="11"/>
      <c r="C18" s="4" t="s">
        <v>69</v>
      </c>
      <c r="E18" s="36"/>
      <c r="F18" s="36"/>
      <c r="G18" s="36"/>
      <c r="H18" s="36"/>
      <c r="I18" s="36"/>
      <c r="J18" s="36"/>
      <c r="K18" s="36"/>
      <c r="L18" s="36"/>
      <c r="M18" s="3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2"/>
    </row>
    <row r="19" spans="1:73" ht="13.5" customHeight="1" x14ac:dyDescent="0.2">
      <c r="A19" s="11"/>
      <c r="D19" s="2" t="s">
        <v>88</v>
      </c>
      <c r="E19" s="36"/>
      <c r="F19" s="36"/>
      <c r="G19" s="36"/>
      <c r="H19" s="36"/>
      <c r="I19" s="36"/>
      <c r="J19" s="36"/>
      <c r="K19" s="36"/>
      <c r="L19" s="36"/>
      <c r="M19" s="36"/>
      <c r="N19" s="17"/>
      <c r="O19" s="17"/>
      <c r="P19" s="17"/>
      <c r="Q19" s="17">
        <v>783</v>
      </c>
      <c r="R19" s="17">
        <v>1060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>
        <v>1520</v>
      </c>
      <c r="AI19" s="17">
        <v>1673</v>
      </c>
      <c r="AJ19" s="17">
        <v>1822</v>
      </c>
      <c r="AK19" s="17">
        <v>1878</v>
      </c>
      <c r="AL19" s="17">
        <v>2086</v>
      </c>
      <c r="AM19" s="17">
        <v>2212</v>
      </c>
      <c r="AN19" s="17">
        <v>2353</v>
      </c>
      <c r="AO19" s="17">
        <f>244+49+1867+72</f>
        <v>2232</v>
      </c>
      <c r="AP19" s="17">
        <f>871+97+1232+44</f>
        <v>2244</v>
      </c>
      <c r="AQ19" s="17">
        <f>879+110+1226+37</f>
        <v>2252</v>
      </c>
      <c r="AR19" s="17">
        <f>241+57+1928+73</f>
        <v>2299</v>
      </c>
      <c r="AS19" s="17">
        <f>213+56+1895+97</f>
        <v>2261</v>
      </c>
      <c r="AT19" s="17">
        <f>229+54+1745+80</f>
        <v>2108</v>
      </c>
      <c r="AU19" s="17">
        <f>204+91+1673+83</f>
        <v>2051</v>
      </c>
      <c r="AV19" s="17">
        <f>206+96+1596+82</f>
        <v>1980</v>
      </c>
      <c r="AW19" s="17">
        <f>206+122+1562+95</f>
        <v>1985</v>
      </c>
      <c r="AX19" s="17">
        <f>267+147+1555+133</f>
        <v>2102</v>
      </c>
      <c r="AY19" s="17">
        <f>297+163+1620+142</f>
        <v>2222</v>
      </c>
      <c r="AZ19" s="17">
        <f>326+147+1621+142</f>
        <v>2236</v>
      </c>
      <c r="BA19" s="17">
        <f>317+117+1605+134</f>
        <v>2173</v>
      </c>
      <c r="BB19" s="17">
        <f>378+135+1513+119+3+46</f>
        <v>2194</v>
      </c>
      <c r="BC19" s="17">
        <f>354+200+1523+128+7+3+55+1</f>
        <v>2271</v>
      </c>
      <c r="BD19" s="17">
        <f>382+200+1472+145+19+2+50+3</f>
        <v>2273</v>
      </c>
      <c r="BE19" s="17">
        <f>413+164+1558+214+16+49+1</f>
        <v>2415</v>
      </c>
      <c r="BF19" s="17">
        <f>453+167+1738+170+17+35+1</f>
        <v>2581</v>
      </c>
      <c r="BG19" s="17">
        <f>464+163+1734+207+15+2+32</f>
        <v>2617</v>
      </c>
      <c r="BH19" s="17">
        <f>439+139+1622+397+15+4+54+2</f>
        <v>2672</v>
      </c>
      <c r="BI19" s="17">
        <f>371+164+1435+384+18+6+35+3</f>
        <v>2416</v>
      </c>
      <c r="BJ19" s="17">
        <f>328+159+1444+319+13+7+30+1</f>
        <v>2301</v>
      </c>
      <c r="BK19" s="17">
        <f>350+137+1397+285+17+5+32+4</f>
        <v>2227</v>
      </c>
      <c r="BL19" s="17">
        <f>358+165+1391+274+17+4+22+2</f>
        <v>2233</v>
      </c>
      <c r="BM19" s="17">
        <f>360+209+1214+195+11+4+26+2</f>
        <v>2021</v>
      </c>
      <c r="BN19" s="17">
        <f>350+164+1119+181+16+5+16+3</f>
        <v>1854</v>
      </c>
      <c r="BO19" s="17">
        <f>390+144+1021+193+16+6+18+2</f>
        <v>1790</v>
      </c>
      <c r="BP19" s="17">
        <f>366+160+1006+199+20+6+27+5</f>
        <v>1789</v>
      </c>
      <c r="BQ19" s="17">
        <f>358+118+1006+198+20+5+35+5</f>
        <v>1745</v>
      </c>
      <c r="BR19" s="17">
        <f>319+146+1000+177+18+5+34+5</f>
        <v>1704</v>
      </c>
      <c r="BS19" s="17">
        <f>349+191+965+143+25+5+23+3</f>
        <v>1704</v>
      </c>
      <c r="BT19" s="17">
        <f>309+205+953+116+20+7+17+4</f>
        <v>1631</v>
      </c>
      <c r="BU19" s="12"/>
    </row>
    <row r="20" spans="1:73" ht="13.5" customHeight="1" x14ac:dyDescent="0.2">
      <c r="A20" s="11"/>
      <c r="D20" s="2" t="s">
        <v>70</v>
      </c>
      <c r="E20" s="36"/>
      <c r="F20" s="36"/>
      <c r="G20" s="36"/>
      <c r="H20" s="36"/>
      <c r="I20" s="36"/>
      <c r="J20" s="36"/>
      <c r="K20" s="36"/>
      <c r="L20" s="36"/>
      <c r="M20" s="3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>
        <v>169</v>
      </c>
      <c r="AI20" s="17">
        <v>193</v>
      </c>
      <c r="AJ20" s="17">
        <v>217</v>
      </c>
      <c r="AK20" s="17">
        <v>223</v>
      </c>
      <c r="AL20" s="17">
        <v>233</v>
      </c>
      <c r="AM20" s="17">
        <v>216</v>
      </c>
      <c r="AN20" s="17">
        <v>231</v>
      </c>
      <c r="AO20" s="17">
        <f>36+34+117+42</f>
        <v>229</v>
      </c>
      <c r="AP20" s="17">
        <f>76+56+90+21</f>
        <v>243</v>
      </c>
      <c r="AQ20" s="17">
        <f>76+67+98+20</f>
        <v>261</v>
      </c>
      <c r="AR20" s="17">
        <f>29+35+153+65</f>
        <v>282</v>
      </c>
      <c r="AS20" s="17">
        <f>24+35+153+64</f>
        <v>276</v>
      </c>
      <c r="AT20" s="17">
        <f>28+40+150+64</f>
        <v>282</v>
      </c>
      <c r="AU20" s="17">
        <f>30+56+160+57</f>
        <v>303</v>
      </c>
      <c r="AV20" s="17">
        <f>46+56+165+66</f>
        <v>333</v>
      </c>
      <c r="AW20" s="17">
        <f>43+69+179+80</f>
        <v>371</v>
      </c>
      <c r="AX20" s="17">
        <f>52+59+202+78</f>
        <v>391</v>
      </c>
      <c r="AY20" s="17">
        <f>53+69+215+84</f>
        <v>421</v>
      </c>
      <c r="AZ20" s="17">
        <f>50+68+241+91</f>
        <v>450</v>
      </c>
      <c r="BA20" s="17">
        <f>37+79+250+94</f>
        <v>460</v>
      </c>
      <c r="BB20" s="17">
        <f>48+83+255+99</f>
        <v>485</v>
      </c>
      <c r="BC20" s="17">
        <f>65+65+260+125</f>
        <v>515</v>
      </c>
      <c r="BD20" s="17">
        <f>59+66+282+121</f>
        <v>528</v>
      </c>
      <c r="BE20" s="17">
        <f>59+73+291+96</f>
        <v>519</v>
      </c>
      <c r="BF20" s="17">
        <f>59+68+321+105</f>
        <v>553</v>
      </c>
      <c r="BG20" s="17">
        <f>120+146+278+29</f>
        <v>573</v>
      </c>
      <c r="BH20" s="17">
        <f>131+137+269+34</f>
        <v>571</v>
      </c>
      <c r="BI20" s="17">
        <f>125+117+274+41</f>
        <v>557</v>
      </c>
      <c r="BJ20" s="17">
        <f>128+122+285+39</f>
        <v>574</v>
      </c>
      <c r="BK20" s="17">
        <f>111+124+297+42</f>
        <v>574</v>
      </c>
      <c r="BL20" s="17">
        <f>135+130+262+52</f>
        <v>579</v>
      </c>
      <c r="BM20" s="17">
        <f>153+119+286+59</f>
        <v>617</v>
      </c>
      <c r="BN20" s="17">
        <f>153+115+279+55</f>
        <v>602</v>
      </c>
      <c r="BO20" s="17">
        <f>133+121+371+73</f>
        <v>698</v>
      </c>
      <c r="BP20" s="17">
        <f>125+109+384+86</f>
        <v>704</v>
      </c>
      <c r="BQ20" s="17">
        <f>108+108+413+85</f>
        <v>714</v>
      </c>
      <c r="BR20" s="17">
        <f>98+93+411+91</f>
        <v>693</v>
      </c>
      <c r="BS20" s="17">
        <f>95+80+323+97</f>
        <v>595</v>
      </c>
      <c r="BT20" s="17">
        <f>78+73+282+86</f>
        <v>519</v>
      </c>
      <c r="BU20" s="12"/>
    </row>
    <row r="21" spans="1:73" ht="13.5" customHeight="1" x14ac:dyDescent="0.2">
      <c r="A21" s="11"/>
      <c r="D21" s="2" t="s">
        <v>64</v>
      </c>
      <c r="E21" s="36"/>
      <c r="F21" s="36"/>
      <c r="G21" s="36"/>
      <c r="H21" s="36"/>
      <c r="I21" s="36"/>
      <c r="J21" s="36"/>
      <c r="K21" s="36"/>
      <c r="L21" s="36"/>
      <c r="M21" s="36"/>
      <c r="N21" s="17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>
        <v>40</v>
      </c>
      <c r="AH21" s="18">
        <v>28</v>
      </c>
      <c r="AI21" s="18">
        <v>40</v>
      </c>
      <c r="AJ21" s="18">
        <v>7</v>
      </c>
      <c r="AK21" s="18">
        <v>18</v>
      </c>
      <c r="AL21" s="18">
        <v>34</v>
      </c>
      <c r="AM21" s="18">
        <v>40</v>
      </c>
      <c r="AN21" s="18">
        <v>25</v>
      </c>
      <c r="AO21" s="18">
        <f>1+0+59+2</f>
        <v>62</v>
      </c>
      <c r="AP21" s="18">
        <f>20+1+83+1</f>
        <v>105</v>
      </c>
      <c r="AQ21" s="18">
        <f>23+2+144+15</f>
        <v>184</v>
      </c>
      <c r="AR21" s="18">
        <f>6+1+213+9</f>
        <v>229</v>
      </c>
      <c r="AS21" s="18">
        <f>4+0+150+10</f>
        <v>164</v>
      </c>
      <c r="AT21" s="18">
        <f>2+1+159+11</f>
        <v>173</v>
      </c>
      <c r="AU21" s="18">
        <f>2+0+144+20</f>
        <v>166</v>
      </c>
      <c r="AV21" s="18">
        <f>2+2+113+5</f>
        <v>122</v>
      </c>
      <c r="AW21" s="18">
        <f>0+3+123+9</f>
        <v>135</v>
      </c>
      <c r="AX21" s="18">
        <f>1+2+74+9</f>
        <v>86</v>
      </c>
      <c r="AY21" s="18">
        <f>3+1+129+9</f>
        <v>142</v>
      </c>
      <c r="AZ21" s="18">
        <f>1+0+125+4</f>
        <v>130</v>
      </c>
      <c r="BA21" s="18">
        <f>1+2+118+7</f>
        <v>128</v>
      </c>
      <c r="BB21" s="18">
        <f>8+5+79+7</f>
        <v>99</v>
      </c>
      <c r="BC21" s="18">
        <f>4+2+93+11</f>
        <v>110</v>
      </c>
      <c r="BD21" s="18">
        <f>16+6+93+8</f>
        <v>123</v>
      </c>
      <c r="BE21" s="18">
        <f>11+8+153+47+5+1+42+4</f>
        <v>271</v>
      </c>
      <c r="BF21" s="18">
        <f>6+5+149+11+15+3+62+4</f>
        <v>255</v>
      </c>
      <c r="BG21" s="18">
        <f>7+7+111+43+23+5+61+2</f>
        <v>259</v>
      </c>
      <c r="BH21" s="18">
        <f>8+5+83+31+26+1+81+8</f>
        <v>243</v>
      </c>
      <c r="BI21" s="18">
        <f>4+3+86+22+19+2+71+10+5+7</f>
        <v>229</v>
      </c>
      <c r="BJ21" s="18">
        <f>8+2+82+10+10+3+63+4+1+9+1</f>
        <v>193</v>
      </c>
      <c r="BK21" s="39">
        <f>3+7+100+3+9+4+76+11+1+7</f>
        <v>221</v>
      </c>
      <c r="BL21" s="39">
        <f>4+3+99+11+9+3+70+6+1+3</f>
        <v>209</v>
      </c>
      <c r="BM21" s="39">
        <f>9+3+112+7+14+3+120+7+10</f>
        <v>285</v>
      </c>
      <c r="BN21" s="39">
        <f>8+2+114+14+24+1+104+14+5+14</f>
        <v>300</v>
      </c>
      <c r="BO21" s="39">
        <f>5+6+113+12+20+2+145+15</f>
        <v>318</v>
      </c>
      <c r="BP21" s="39">
        <f>4+2+110+9+28+2+118+15</f>
        <v>288</v>
      </c>
      <c r="BQ21" s="39">
        <f>1+103+8+18+2+104+14+11+4</f>
        <v>265</v>
      </c>
      <c r="BR21" s="39">
        <f>4+4+104+7+13+3+115+12+1+9+2</f>
        <v>274</v>
      </c>
      <c r="BS21" s="39">
        <f>5+5+105+10+15+2+131+15+5+1</f>
        <v>294</v>
      </c>
      <c r="BT21" s="39">
        <f>6+1+109+10+8+4+168+18+1+9+2</f>
        <v>336</v>
      </c>
      <c r="BU21" s="12"/>
    </row>
    <row r="22" spans="1:73" ht="13.5" customHeight="1" x14ac:dyDescent="0.2">
      <c r="A22" s="11"/>
      <c r="E22" s="36"/>
      <c r="F22" s="36"/>
      <c r="G22" s="36"/>
      <c r="H22" s="36"/>
      <c r="I22" s="36"/>
      <c r="J22" s="36"/>
      <c r="K22" s="36"/>
      <c r="L22" s="36"/>
      <c r="M22" s="36"/>
      <c r="N22" s="17"/>
      <c r="O22" s="17"/>
      <c r="P22" s="17"/>
      <c r="Q22" s="17">
        <f>Q19</f>
        <v>783</v>
      </c>
      <c r="R22" s="17">
        <f>R19</f>
        <v>1060</v>
      </c>
      <c r="S22" s="17">
        <v>1188</v>
      </c>
      <c r="T22" s="17"/>
      <c r="U22" s="17">
        <v>1153</v>
      </c>
      <c r="V22" s="17"/>
      <c r="W22" s="17">
        <v>1298</v>
      </c>
      <c r="X22" s="17"/>
      <c r="Y22" s="17">
        <v>1419</v>
      </c>
      <c r="Z22" s="17"/>
      <c r="AA22" s="17">
        <v>1766</v>
      </c>
      <c r="AB22" s="17">
        <v>1729</v>
      </c>
      <c r="AC22" s="17">
        <v>1901</v>
      </c>
      <c r="AD22" s="17">
        <v>1969</v>
      </c>
      <c r="AE22" s="17">
        <v>1718</v>
      </c>
      <c r="AF22" s="17">
        <v>1654</v>
      </c>
      <c r="AG22" s="17">
        <v>1705</v>
      </c>
      <c r="AH22" s="17">
        <f>SUM(AH19:AH21)</f>
        <v>1717</v>
      </c>
      <c r="AI22" s="17">
        <f>SUM(AI19:AI21)</f>
        <v>1906</v>
      </c>
      <c r="AJ22" s="17">
        <f t="shared" ref="AJ22:BL22" si="4">SUM(AJ19:AJ21)</f>
        <v>2046</v>
      </c>
      <c r="AK22" s="17">
        <f t="shared" si="4"/>
        <v>2119</v>
      </c>
      <c r="AL22" s="17">
        <f t="shared" si="4"/>
        <v>2353</v>
      </c>
      <c r="AM22" s="17">
        <f t="shared" si="4"/>
        <v>2468</v>
      </c>
      <c r="AN22" s="17">
        <f t="shared" si="4"/>
        <v>2609</v>
      </c>
      <c r="AO22" s="17">
        <f t="shared" si="4"/>
        <v>2523</v>
      </c>
      <c r="AP22" s="17">
        <f t="shared" si="4"/>
        <v>2592</v>
      </c>
      <c r="AQ22" s="17">
        <f t="shared" si="4"/>
        <v>2697</v>
      </c>
      <c r="AR22" s="17">
        <f t="shared" si="4"/>
        <v>2810</v>
      </c>
      <c r="AS22" s="17">
        <f t="shared" si="4"/>
        <v>2701</v>
      </c>
      <c r="AT22" s="17">
        <f t="shared" si="4"/>
        <v>2563</v>
      </c>
      <c r="AU22" s="17">
        <f t="shared" si="4"/>
        <v>2520</v>
      </c>
      <c r="AV22" s="17">
        <f t="shared" si="4"/>
        <v>2435</v>
      </c>
      <c r="AW22" s="17">
        <f t="shared" si="4"/>
        <v>2491</v>
      </c>
      <c r="AX22" s="17">
        <f>SUM(AX19:AX21)</f>
        <v>2579</v>
      </c>
      <c r="AY22" s="17">
        <f>SUM(AY19:AY21)</f>
        <v>2785</v>
      </c>
      <c r="AZ22" s="17">
        <f t="shared" si="4"/>
        <v>2816</v>
      </c>
      <c r="BA22" s="17">
        <f t="shared" si="4"/>
        <v>2761</v>
      </c>
      <c r="BB22" s="17">
        <f t="shared" si="4"/>
        <v>2778</v>
      </c>
      <c r="BC22" s="17">
        <f t="shared" si="4"/>
        <v>2896</v>
      </c>
      <c r="BD22" s="17">
        <f t="shared" si="4"/>
        <v>2924</v>
      </c>
      <c r="BE22" s="17">
        <f t="shared" si="4"/>
        <v>3205</v>
      </c>
      <c r="BF22" s="17">
        <f t="shared" si="4"/>
        <v>3389</v>
      </c>
      <c r="BG22" s="17">
        <f t="shared" si="4"/>
        <v>3449</v>
      </c>
      <c r="BH22" s="17">
        <f t="shared" si="4"/>
        <v>3486</v>
      </c>
      <c r="BI22" s="17">
        <f t="shared" si="4"/>
        <v>3202</v>
      </c>
      <c r="BJ22" s="17">
        <f t="shared" si="4"/>
        <v>3068</v>
      </c>
      <c r="BK22" s="17">
        <f t="shared" si="4"/>
        <v>3022</v>
      </c>
      <c r="BL22" s="17">
        <f t="shared" si="4"/>
        <v>3021</v>
      </c>
      <c r="BM22" s="17">
        <f t="shared" ref="BM22:BS22" si="5">SUM(BM19:BM21)</f>
        <v>2923</v>
      </c>
      <c r="BN22" s="17">
        <f t="shared" si="5"/>
        <v>2756</v>
      </c>
      <c r="BO22" s="17">
        <f t="shared" si="5"/>
        <v>2806</v>
      </c>
      <c r="BP22" s="17">
        <f t="shared" si="5"/>
        <v>2781</v>
      </c>
      <c r="BQ22" s="17">
        <f t="shared" si="5"/>
        <v>2724</v>
      </c>
      <c r="BR22" s="17">
        <f t="shared" si="5"/>
        <v>2671</v>
      </c>
      <c r="BS22" s="17">
        <f t="shared" si="5"/>
        <v>2593</v>
      </c>
      <c r="BT22" s="17">
        <f t="shared" ref="BT22" si="6">SUM(BT19:BT21)</f>
        <v>2486</v>
      </c>
      <c r="BU22" s="12"/>
    </row>
    <row r="23" spans="1:73" ht="13.5" customHeight="1" x14ac:dyDescent="0.2">
      <c r="A23" s="11"/>
      <c r="E23" s="36"/>
      <c r="F23" s="36"/>
      <c r="G23" s="36"/>
      <c r="H23" s="36"/>
      <c r="I23" s="36"/>
      <c r="J23" s="36"/>
      <c r="K23" s="36"/>
      <c r="L23" s="36"/>
      <c r="M23" s="3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2"/>
    </row>
    <row r="24" spans="1:73" ht="13.5" customHeight="1" x14ac:dyDescent="0.2">
      <c r="A24" s="11"/>
      <c r="C24" s="4" t="s">
        <v>71</v>
      </c>
      <c r="E24" s="36"/>
      <c r="F24" s="36"/>
      <c r="G24" s="36"/>
      <c r="H24" s="36"/>
      <c r="I24" s="36"/>
      <c r="J24" s="36"/>
      <c r="K24" s="36"/>
      <c r="L24" s="36"/>
      <c r="M24" s="36"/>
      <c r="N24" s="17">
        <f>N15</f>
        <v>4758</v>
      </c>
      <c r="O24" s="17">
        <f>O15</f>
        <v>5803</v>
      </c>
      <c r="P24" s="17">
        <f>P15</f>
        <v>6558</v>
      </c>
      <c r="Q24" s="17">
        <f>Q15+Q22</f>
        <v>8240</v>
      </c>
      <c r="R24" s="17">
        <f>R15+R22</f>
        <v>9598</v>
      </c>
      <c r="S24" s="17">
        <f>S15+S22</f>
        <v>9680</v>
      </c>
      <c r="T24" s="17"/>
      <c r="U24" s="17">
        <f>U15+U22</f>
        <v>11155</v>
      </c>
      <c r="V24" s="17"/>
      <c r="W24" s="17">
        <f>W15+W22</f>
        <v>11394</v>
      </c>
      <c r="X24" s="17">
        <v>12327</v>
      </c>
      <c r="Y24" s="17">
        <f>Y15+Y22</f>
        <v>11606</v>
      </c>
      <c r="Z24" s="17">
        <v>11684</v>
      </c>
      <c r="AA24" s="17">
        <f>AA15+AA22</f>
        <v>11271</v>
      </c>
      <c r="AB24" s="17">
        <f t="shared" ref="AB24:BJ24" si="7">AB15+AB17+AB22</f>
        <v>11357</v>
      </c>
      <c r="AC24" s="17">
        <f t="shared" si="7"/>
        <v>11717</v>
      </c>
      <c r="AD24" s="17">
        <f t="shared" si="7"/>
        <v>12390</v>
      </c>
      <c r="AE24" s="17">
        <f t="shared" si="7"/>
        <v>12035</v>
      </c>
      <c r="AF24" s="17">
        <f t="shared" si="7"/>
        <v>11816</v>
      </c>
      <c r="AG24" s="17">
        <f t="shared" si="7"/>
        <v>11596</v>
      </c>
      <c r="AH24" s="17">
        <f t="shared" si="7"/>
        <v>11444</v>
      </c>
      <c r="AI24" s="17">
        <f t="shared" si="7"/>
        <v>12328</v>
      </c>
      <c r="AJ24" s="17">
        <f t="shared" si="7"/>
        <v>13162</v>
      </c>
      <c r="AK24" s="17">
        <f t="shared" si="7"/>
        <v>13932</v>
      </c>
      <c r="AL24" s="17">
        <f t="shared" si="7"/>
        <v>14635</v>
      </c>
      <c r="AM24" s="17">
        <f t="shared" si="7"/>
        <v>15397</v>
      </c>
      <c r="AN24" s="17">
        <f t="shared" si="7"/>
        <v>15620</v>
      </c>
      <c r="AO24" s="17">
        <f t="shared" si="7"/>
        <v>14926</v>
      </c>
      <c r="AP24" s="17">
        <f t="shared" si="7"/>
        <v>15411</v>
      </c>
      <c r="AQ24" s="17">
        <f t="shared" si="7"/>
        <v>15588</v>
      </c>
      <c r="AR24" s="17">
        <f t="shared" si="7"/>
        <v>15972</v>
      </c>
      <c r="AS24" s="17">
        <f t="shared" si="7"/>
        <v>16094</v>
      </c>
      <c r="AT24" s="17">
        <f t="shared" si="7"/>
        <v>15575</v>
      </c>
      <c r="AU24" s="17">
        <f t="shared" si="7"/>
        <v>15880</v>
      </c>
      <c r="AV24" s="17">
        <f t="shared" si="7"/>
        <v>15594</v>
      </c>
      <c r="AW24" s="17">
        <f t="shared" si="7"/>
        <v>15397</v>
      </c>
      <c r="AX24" s="17">
        <f t="shared" si="7"/>
        <v>14993</v>
      </c>
      <c r="AY24" s="17">
        <f t="shared" si="7"/>
        <v>15658</v>
      </c>
      <c r="AZ24" s="17">
        <f t="shared" si="7"/>
        <v>15599</v>
      </c>
      <c r="BA24" s="17">
        <f t="shared" si="7"/>
        <v>15498</v>
      </c>
      <c r="BB24" s="17">
        <f t="shared" si="7"/>
        <v>15548</v>
      </c>
      <c r="BC24" s="17">
        <f t="shared" si="7"/>
        <v>15531</v>
      </c>
      <c r="BD24" s="17">
        <f t="shared" si="7"/>
        <v>15527</v>
      </c>
      <c r="BE24" s="17">
        <f t="shared" si="7"/>
        <v>15741</v>
      </c>
      <c r="BF24" s="17">
        <f t="shared" si="7"/>
        <v>16534</v>
      </c>
      <c r="BG24" s="17">
        <f t="shared" si="7"/>
        <v>16791</v>
      </c>
      <c r="BH24" s="17">
        <f t="shared" si="7"/>
        <v>16809</v>
      </c>
      <c r="BI24" s="17">
        <f t="shared" si="7"/>
        <v>16705</v>
      </c>
      <c r="BJ24" s="17">
        <f t="shared" si="7"/>
        <v>16809</v>
      </c>
      <c r="BK24" s="17">
        <f t="shared" ref="BK24:BS24" si="8">BK15+BK17+BK22</f>
        <v>17072</v>
      </c>
      <c r="BL24" s="17">
        <f t="shared" si="8"/>
        <v>16738</v>
      </c>
      <c r="BM24" s="17">
        <f t="shared" si="8"/>
        <v>16989</v>
      </c>
      <c r="BN24" s="17">
        <f t="shared" si="8"/>
        <v>16715</v>
      </c>
      <c r="BO24" s="17">
        <f t="shared" si="8"/>
        <v>16441</v>
      </c>
      <c r="BP24" s="17">
        <f t="shared" si="8"/>
        <v>15988</v>
      </c>
      <c r="BQ24" s="17">
        <f t="shared" si="8"/>
        <v>13874</v>
      </c>
      <c r="BR24" s="17">
        <f t="shared" si="8"/>
        <v>15189</v>
      </c>
      <c r="BS24" s="17">
        <f t="shared" si="8"/>
        <v>15181</v>
      </c>
      <c r="BT24" s="17">
        <f t="shared" ref="BT24" si="9">BT15+BT17+BT22</f>
        <v>14800</v>
      </c>
      <c r="BU24" s="12"/>
    </row>
    <row r="25" spans="1:73" ht="13.5" customHeight="1" x14ac:dyDescent="0.2">
      <c r="A25" s="11"/>
      <c r="E25" s="36"/>
      <c r="F25" s="36"/>
      <c r="G25" s="36"/>
      <c r="H25" s="36"/>
      <c r="I25" s="36"/>
      <c r="J25" s="36"/>
      <c r="K25" s="36"/>
      <c r="L25" s="36"/>
      <c r="M25" s="3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2"/>
    </row>
    <row r="26" spans="1:73" ht="13.5" customHeight="1" x14ac:dyDescent="0.2">
      <c r="A26" s="11"/>
      <c r="B26" s="61" t="s">
        <v>72</v>
      </c>
      <c r="C26" s="53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12"/>
    </row>
    <row r="27" spans="1:73" ht="13.5" customHeight="1" x14ac:dyDescent="0.2">
      <c r="A27" s="11"/>
      <c r="D27" s="2" t="s">
        <v>62</v>
      </c>
      <c r="E27" s="36"/>
      <c r="F27" s="36"/>
      <c r="G27" s="36"/>
      <c r="H27" s="36"/>
      <c r="I27" s="36"/>
      <c r="J27" s="36"/>
      <c r="K27" s="36"/>
      <c r="L27" s="36"/>
      <c r="M27" s="36"/>
      <c r="N27" s="17"/>
      <c r="O27" s="17">
        <v>4621</v>
      </c>
      <c r="P27" s="17">
        <v>5304</v>
      </c>
      <c r="Q27" s="17">
        <v>6207</v>
      </c>
      <c r="R27" s="17">
        <v>7272</v>
      </c>
      <c r="S27" s="17"/>
      <c r="T27" s="17"/>
      <c r="U27" s="17"/>
      <c r="V27" s="17"/>
      <c r="W27" s="17"/>
      <c r="X27" s="17"/>
      <c r="Y27" s="17"/>
      <c r="Z27" s="17"/>
      <c r="AA27" s="17">
        <v>6930</v>
      </c>
      <c r="AB27" s="17">
        <v>6937</v>
      </c>
      <c r="AC27" s="17">
        <v>7096</v>
      </c>
      <c r="AD27" s="17">
        <v>7342</v>
      </c>
      <c r="AE27" s="17">
        <v>7141</v>
      </c>
      <c r="AF27" s="17">
        <v>6906</v>
      </c>
      <c r="AG27" s="17">
        <v>6614</v>
      </c>
      <c r="AH27" s="17">
        <v>6412</v>
      </c>
      <c r="AI27" s="17">
        <v>6621</v>
      </c>
      <c r="AJ27" s="17">
        <v>6877</v>
      </c>
      <c r="AK27" s="17">
        <v>7143</v>
      </c>
      <c r="AL27" s="17">
        <v>7454</v>
      </c>
      <c r="AM27" s="17">
        <v>7708</v>
      </c>
      <c r="AN27" s="17">
        <v>7632</v>
      </c>
      <c r="AO27" s="17">
        <f>412.9+8.5+29.9+0.5+3709.1+129.4+1756.5+22.1+33+0.8+929.4+8.7</f>
        <v>7040.7999999999993</v>
      </c>
      <c r="AP27" s="17">
        <f>387.8+16+59.7+3.7+3698.5+160.1+1668.5+36.5+44.1+1.1+1129.9+11.2</f>
        <v>7217.1000000000013</v>
      </c>
      <c r="AQ27" s="17">
        <f>443.3+30.7+75.1+3.8+3753.6+299.4+1548.1+42.1+74.7+19.5+1179.8+11.6</f>
        <v>7481.7000000000007</v>
      </c>
      <c r="AR27" s="17">
        <f>457.3+29.1+86.7+2+3639+331.6+1597.8+44.1+56.1+6.7+1286.3+10</f>
        <v>7546.7000000000016</v>
      </c>
      <c r="AS27" s="17">
        <f>527.9+28.6+70.9+3.7+3639.6+288.1+1599.7+56.1+81.4+3.9+1346.9+14.5</f>
        <v>7661.2999999999993</v>
      </c>
      <c r="AT27" s="17">
        <f>381.6+32.7+133.9+3.7+3579.1+285.7+1621.5+57.6+78.5+6.9+1279.3+16.9</f>
        <v>7477.4</v>
      </c>
      <c r="AU27" s="17">
        <f>452.1+28.5+96.3+3.2+3758.6+304.7+1640.1+54.1+91.3+17.3+1277.3+26.1</f>
        <v>7749.6000000000013</v>
      </c>
      <c r="AV27" s="17">
        <f>443.8+41.9+62.9+3.1+3887.7+297.4+1584.8+41+129.1+16.5+1247+18.9</f>
        <v>7774.0999999999995</v>
      </c>
      <c r="AW27" s="17">
        <f>405.8+48.6+62+6.1+3928.2+335.5+1562.9+55.7+125.7+6+1144.9+18.4</f>
        <v>7699.7999999999993</v>
      </c>
      <c r="AX27" s="17">
        <f>410.6+56.3+62+2+4029.3+326.9+1556.9+44.7+99.5+9.8+1010.9+15.7</f>
        <v>7624.5999999999995</v>
      </c>
      <c r="AY27" s="17">
        <f>324.8+52.1+46.6+3.1+4196.9+359.6+1443.7+58.6+113.6+6.6+1168.5+14.8</f>
        <v>7788.9000000000015</v>
      </c>
      <c r="AZ27" s="17">
        <f>361.5+51.6+33.3+2.9+4141.7+422.4+1410.8+72.7+75.7+0.8+1193.9+9.1</f>
        <v>7776.4</v>
      </c>
      <c r="BA27" s="17">
        <f>307.9+51.7+24.7+2.2+4112.8+461.1+1387.3+72.5+58.3+0.8+1241.5+14.3</f>
        <v>7735.1000000000013</v>
      </c>
      <c r="BB27" s="17">
        <f>389.5+60.4+15.1+1+4234.9+490.6+1382.3+92.3+82.9+40.6+1144.5+12.5</f>
        <v>7946.6</v>
      </c>
      <c r="BC27" s="17">
        <f>351.7+80.4+23+2.3+4176.2+478.5+1323.1+90.5+95.9+42.3+1199.7+9.1</f>
        <v>7872.6999999999989</v>
      </c>
      <c r="BD27" s="17">
        <f>352.9+59.9+18.5+1.2+4264.7+522.7+1284.1+94.4+91.8+44.7+1169.2+7.7</f>
        <v>7911.7999999999993</v>
      </c>
      <c r="BE27" s="17">
        <f>335.1+63.8+14.9+1.1+4181.4+503.3+1258+86.3+94.8+49.7+1215.1+10.1</f>
        <v>7813.6</v>
      </c>
      <c r="BF27" s="17">
        <f>377.3+70.7+13.5+1.5+4293.7+544.1+1294.5+80.7+105.6+37.2+1344.2+9.1</f>
        <v>8172.1</v>
      </c>
      <c r="BG27" s="17">
        <f>392.3+54.7+10.7+4330.6+560.7+1363.6+80.5+125.1+35.2+1354.9+8.6</f>
        <v>8316.9000000000015</v>
      </c>
      <c r="BH27" s="17">
        <f>362.5+85+9.5+2.7+4250.9+554.3+1382.5+71.1+136.2+34.1+1379.8+10</f>
        <v>8278.6</v>
      </c>
      <c r="BI27" s="17">
        <f>401.6+97.1+3.8+1.6+4237.9+576.5+1327.3+86.7+138.5+31.5+1453+8.8</f>
        <v>8364.2999999999993</v>
      </c>
      <c r="BJ27" s="17">
        <f>348.9+90.3+7.5+0.9+4202.5+600.7+1338.1+88.3+182.7+38.5+1526.3+6.9</f>
        <v>8431.5999999999985</v>
      </c>
      <c r="BK27" s="17">
        <f>375.2+90.3+8.4+0.4+4233.9+598+1320.1+80+162.3+42.6+1628.1+10.7</f>
        <v>8550</v>
      </c>
      <c r="BL27" s="17">
        <f>380.5+99.8+5.9+0.2+3989.5+565.5+1185.1+70.8+124.1+28.3+1768.8+9</f>
        <v>8227.5</v>
      </c>
      <c r="BM27" s="17">
        <f>336.1+57.1+11.7+0.9+3836.9+539.6+1054.9+82.1+144.6+23.1+2015.2+11.2</f>
        <v>8113.4000000000015</v>
      </c>
      <c r="BN27" s="17">
        <f>376.4+81.5+5.1+0.3+3811.9+534.9+903.9+64.5+209.7+18.6+2078.5+6.5</f>
        <v>8091.7999999999993</v>
      </c>
      <c r="BO27" s="17">
        <f>331.2+117.3+10.5+1.3+3747.6+491.5+843.2+66.4+225.3+18.5+2004.3+7.9</f>
        <v>7864.9999999999991</v>
      </c>
      <c r="BP27" s="17">
        <f>333.3+90.3+6.2+0.5+3518.3+481.6+789.5+65.4+252.6+16.8+1994+18.9</f>
        <v>7567.4000000000005</v>
      </c>
      <c r="BQ27" s="17">
        <f>320.1+60.7+6.3+1.9+3427.7+490.6+714.5+59.1+203.3+1.7+1433.4+10</f>
        <v>6729.3000000000011</v>
      </c>
      <c r="BR27" s="17">
        <f>199.2+56.7+9.4+3.1+3058.7+416.2+688+57.1+312.1+20.7+2084.7+17.6</f>
        <v>6923.5</v>
      </c>
      <c r="BS27" s="17">
        <f>304.3+93+12.8+0.2+2771.7+361.9+629.7+46.5+295.3+23.6+2182.2+17.5</f>
        <v>6738.7000000000007</v>
      </c>
      <c r="BT27" s="17">
        <f>314+106.5+14.7+1.2+2703.8+369.7+540.1+42.9+358.1+22.3+2193.2+12.1</f>
        <v>6678.6</v>
      </c>
      <c r="BU27" s="12"/>
    </row>
    <row r="28" spans="1:73" ht="13.5" customHeight="1" x14ac:dyDescent="0.2">
      <c r="A28" s="11"/>
      <c r="D28" s="2" t="s">
        <v>65</v>
      </c>
      <c r="E28" s="36"/>
      <c r="F28" s="36"/>
      <c r="G28" s="36"/>
      <c r="H28" s="36"/>
      <c r="I28" s="36"/>
      <c r="J28" s="36"/>
      <c r="K28" s="36"/>
      <c r="L28" s="36"/>
      <c r="M28" s="36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6"/>
      <c r="AB28" s="16">
        <v>0</v>
      </c>
      <c r="AC28" s="17">
        <v>36</v>
      </c>
      <c r="AD28" s="17">
        <v>63</v>
      </c>
      <c r="AE28" s="17">
        <v>89</v>
      </c>
      <c r="AF28" s="17">
        <v>121</v>
      </c>
      <c r="AG28" s="17">
        <v>117</v>
      </c>
      <c r="AH28" s="17">
        <v>132</v>
      </c>
      <c r="AI28" s="17">
        <v>141</v>
      </c>
      <c r="AJ28" s="17">
        <v>152</v>
      </c>
      <c r="AK28" s="17">
        <v>160</v>
      </c>
      <c r="AL28" s="17">
        <v>156</v>
      </c>
      <c r="AM28" s="17">
        <v>157</v>
      </c>
      <c r="AN28" s="17">
        <v>156</v>
      </c>
      <c r="AO28" s="17">
        <f>91+66+0+0</f>
        <v>157</v>
      </c>
      <c r="AP28" s="17">
        <f>95+62+0+0</f>
        <v>157</v>
      </c>
      <c r="AQ28" s="17">
        <f>95+60+0+0</f>
        <v>155</v>
      </c>
      <c r="AR28" s="17">
        <f>99+61+0+0</f>
        <v>160</v>
      </c>
      <c r="AS28" s="17">
        <f>92+71+0+0</f>
        <v>163</v>
      </c>
      <c r="AT28" s="17">
        <f>87+81+0+0</f>
        <v>168</v>
      </c>
      <c r="AU28" s="17">
        <f>89+84+0+0</f>
        <v>173</v>
      </c>
      <c r="AV28" s="17">
        <f>84+89+0+0</f>
        <v>173</v>
      </c>
      <c r="AW28" s="17">
        <v>169</v>
      </c>
      <c r="AX28" s="17">
        <f>89+74+0+0</f>
        <v>163</v>
      </c>
      <c r="AY28" s="17">
        <f>92+66+0+0</f>
        <v>158</v>
      </c>
      <c r="AZ28" s="17">
        <f>90+69+0+0</f>
        <v>159</v>
      </c>
      <c r="BA28" s="17">
        <f>99+66</f>
        <v>165</v>
      </c>
      <c r="BB28" s="17">
        <f>87+77</f>
        <v>164</v>
      </c>
      <c r="BC28" s="17">
        <f>83+93</f>
        <v>176</v>
      </c>
      <c r="BD28" s="17">
        <f>86+85</f>
        <v>171</v>
      </c>
      <c r="BE28" s="17">
        <f>89+89</f>
        <v>178</v>
      </c>
      <c r="BF28" s="17">
        <f>86+93</f>
        <v>179</v>
      </c>
      <c r="BG28" s="17">
        <f>74+97</f>
        <v>171</v>
      </c>
      <c r="BH28" s="17">
        <f>65+107</f>
        <v>172</v>
      </c>
      <c r="BI28" s="17">
        <f>60+108</f>
        <v>168</v>
      </c>
      <c r="BJ28" s="17">
        <f>64+108</f>
        <v>172</v>
      </c>
      <c r="BK28" s="17">
        <f>70+106</f>
        <v>176</v>
      </c>
      <c r="BL28" s="17">
        <f>75+97</f>
        <v>172</v>
      </c>
      <c r="BM28" s="17">
        <f>79+89</f>
        <v>168</v>
      </c>
      <c r="BN28" s="17">
        <f>82+90</f>
        <v>172</v>
      </c>
      <c r="BO28" s="17">
        <f>78+97</f>
        <v>175</v>
      </c>
      <c r="BP28" s="17">
        <f>77+104</f>
        <v>181</v>
      </c>
      <c r="BQ28" s="17">
        <f>71+106</f>
        <v>177</v>
      </c>
      <c r="BR28" s="17">
        <f>65+106</f>
        <v>171</v>
      </c>
      <c r="BS28" s="17">
        <f>81+92</f>
        <v>173</v>
      </c>
      <c r="BT28" s="17">
        <f>78+99</f>
        <v>177</v>
      </c>
      <c r="BU28" s="12"/>
    </row>
    <row r="29" spans="1:73" ht="13.5" customHeight="1" x14ac:dyDescent="0.2">
      <c r="A29" s="11"/>
      <c r="D29" s="2" t="s">
        <v>69</v>
      </c>
      <c r="E29" s="36"/>
      <c r="F29" s="36"/>
      <c r="G29" s="36"/>
      <c r="H29" s="36"/>
      <c r="I29" s="36"/>
      <c r="J29" s="36"/>
      <c r="K29" s="36"/>
      <c r="L29" s="36"/>
      <c r="M29" s="36"/>
      <c r="N29" s="17"/>
      <c r="O29" s="18"/>
      <c r="P29" s="18"/>
      <c r="Q29" s="18">
        <v>378</v>
      </c>
      <c r="R29" s="18">
        <v>519</v>
      </c>
      <c r="S29" s="18"/>
      <c r="T29" s="18"/>
      <c r="U29" s="18"/>
      <c r="V29" s="18"/>
      <c r="W29" s="18"/>
      <c r="X29" s="18"/>
      <c r="Y29" s="18"/>
      <c r="Z29" s="18"/>
      <c r="AA29" s="18">
        <v>713</v>
      </c>
      <c r="AB29" s="18">
        <v>742</v>
      </c>
      <c r="AC29" s="18">
        <v>787</v>
      </c>
      <c r="AD29" s="18">
        <v>800</v>
      </c>
      <c r="AE29" s="18">
        <v>719</v>
      </c>
      <c r="AF29" s="18">
        <v>660</v>
      </c>
      <c r="AG29" s="18">
        <v>665</v>
      </c>
      <c r="AH29" s="18">
        <v>695</v>
      </c>
      <c r="AI29" s="18">
        <v>769</v>
      </c>
      <c r="AJ29" s="18">
        <v>845</v>
      </c>
      <c r="AK29" s="18">
        <v>867</v>
      </c>
      <c r="AL29" s="18">
        <v>950</v>
      </c>
      <c r="AM29" s="18">
        <v>989</v>
      </c>
      <c r="AN29" s="18">
        <v>1068</v>
      </c>
      <c r="AO29" s="18">
        <f>0.8+0+16.4+0.5+212.9+42.2+622.3+26.5+29.8+31.3+30.5+16.3</f>
        <v>1029.4999999999998</v>
      </c>
      <c r="AP29" s="18">
        <f>10.5+1.3+21.1+0.3+508+67.3+307+11.5+49.3+43.2+15.9+2.6</f>
        <v>1038</v>
      </c>
      <c r="AQ29" s="18">
        <f>12.3+1.8+34.8+2.3+508.2+77.2+314.7+9.9+49.9+49.3+14.2+2.8</f>
        <v>1077.3999999999999</v>
      </c>
      <c r="AR29" s="18">
        <f>5.5+0.8+60.5+1.9+202.5+51.9+671.5+29.4+25.3+30.3+39.3+23.5</f>
        <v>1142.3999999999999</v>
      </c>
      <c r="AS29" s="18">
        <f>3.3+0+46.4+4.5+176.7+46.8+666.2+37.6+19.1+32.3+40.3+20.7</f>
        <v>1093.9000000000001</v>
      </c>
      <c r="AT29" s="18">
        <f>1.5+1+41.8+2.9+188+43.6+616.3+31.3+22+36.1+39.6+20</f>
        <v>1044.0999999999999</v>
      </c>
      <c r="AU29" s="18">
        <f>1.5+0+36.3+4.3+165.4+76.3+594+33.3+25.5+48.8+42.8+14.3</f>
        <v>1042.4999999999998</v>
      </c>
      <c r="AV29" s="18">
        <f>1.5+1.5+31.3+1.3+175.1+79.4+573.9+33.9+36.8+49+45.1+18.3</f>
        <v>1047.0999999999999</v>
      </c>
      <c r="AW29" s="18">
        <f>0+2.6+37.6+3.1+175.8+104+588.7+39.8+36.4+59+52.2+18.5</f>
        <v>1117.7</v>
      </c>
      <c r="AX29" s="18">
        <f>0.8+1.8+22.8+2.9+228.5+126.6+564.8+48.6+43.3+49.5+60+20.8</f>
        <v>1170.3999999999999</v>
      </c>
      <c r="AY29" s="18">
        <f>2.3+0.8+37.1+2.6+247+137.3+598.8+50.3+44.8+59.8+61.5+24.8</f>
        <v>1267.0999999999999</v>
      </c>
      <c r="AZ29" s="18">
        <f>0.8+0+36.8+1.5+274.3+122.7+614.2+48.1+40+55.8+69.9+24.8</f>
        <v>1288.8999999999999</v>
      </c>
      <c r="BA29" s="18">
        <f>1+1.6+32.4+2.3+266.6+96.7+619.5+53.3+31.5+65.1+67.8+24.3</f>
        <v>1262.0999999999999</v>
      </c>
      <c r="BB29" s="18">
        <f>6.8+4+23.3+2.3+320.3+111.1+598.3+50.8+2.3+17.5+39.8+68.5+68.4+28</f>
        <v>1341.3999999999999</v>
      </c>
      <c r="BC29" s="18">
        <f>3.2+2.2+29.4+3.3+302.5+166.2+603.6+53.7+6+2.8+21.8+0.5+52.8+56.5+78.6+39.2</f>
        <v>1422.3</v>
      </c>
      <c r="BD29" s="18">
        <f>13.3+5+29.8+2.5+321.8+166.8+600.5+57.5+16.8+2+20.5+1.3+48.3+56.5+86.8+34.7</f>
        <v>1464.1</v>
      </c>
      <c r="BE29" s="18">
        <f>9.3+6.9+50.4+21.7+344.3+136.4+635.1+97.7+15.3+19.9+0.5+48.7+61.8+92+25.9+3.8+0.8+14.8+1.8</f>
        <v>1587.1</v>
      </c>
      <c r="BF29" s="18">
        <f>4.8+4+48.9+4.4+379+135.9+724.6+73.9+15.8+12.1+0.5+46.9+57.9+98.4+33.1+13.5+2.3+23.5+1.1</f>
        <v>1680.6</v>
      </c>
      <c r="BG29" s="18">
        <f>5.3+5.6+36.1+18.9+386.6+136+732.8+95.1+14.5+1.8+12.8+60.8+87.1+87.3+9.3+20.7+4+24.3+1.1</f>
        <v>1740.0999999999995</v>
      </c>
      <c r="BH29" s="18">
        <f>6.6+4+26+12.1+368+116.7+687.8+182.2+14.3+3.8+23.8+1+62.7+80.8+80.8+8.1+23.3+1.1+32.4+2.9</f>
        <v>1738.3999999999996</v>
      </c>
      <c r="BI29" s="18">
        <f>3.3+3+26.8+8.8+18+2+28.2+4.3+310.6+134.3+604.4+175.4+16+6+14.8+1.3+54.3+77.4+82.1+10.8+4+3</f>
        <v>1588.7999999999997</v>
      </c>
      <c r="BJ29" s="18">
        <f>7.3+1.8+26.8+3.9+9.8+2.7+23.9+1.1+273.5+133.2+606+145.4+12.5+6.8+11.5+0.5+55.2+72.9+85.6+13.3+0.8+3.8+0.5</f>
        <v>1498.8</v>
      </c>
      <c r="BK29" s="39">
        <f>2.8+5.8+24.9+1+7.7+3.3+29.2+4.3+287.3+112.2+592.6+129.9+16.3+5+13.5+1.3+48.3+75.1+97+15.8+0.8+3.3</f>
        <v>1477.3999999999996</v>
      </c>
      <c r="BL29" s="39">
        <f>3.3+2.5+30.6+3.5+7.2+2.5+26.6+2.7+295.1+137.1+598+130.3+16+4+8+0.5+67+82.7+81.9+17.8+0.8+1.4</f>
        <v>1519.5</v>
      </c>
      <c r="BM29" s="39">
        <f>9.2+2.5+35.6+2.7+13+2.3+48.1+3.3+301.6+175+522.5+95.1+10.5+4+8.8+0.5+72.5+68.9+105.3+21.6+4.8</f>
        <v>1507.7999999999997</v>
      </c>
      <c r="BN29" s="39">
        <f>7.1+1.8+37.8+5.1+21.2+0.8+48.3+5.9+293.9+143.1+476.6+82.2+13.3+4.3+6.3+1+73.9+60.7+106.4+19.8+3.8+6.4</f>
        <v>1419.7</v>
      </c>
      <c r="BO29" s="39">
        <f>5.1+5.8+37.8+4.1+17.2+2.1+57.9+5.3+328.3+123.1+438.3+93.8+14+5.3+6.3+0.5+56.9+65.1+152.2+28.5</f>
        <v>1447.6</v>
      </c>
      <c r="BP29" s="39">
        <f>3.3+1.5+37.2+3.7+25.9+1.5+49.1+5.5+306.6+140.8+432.9+95.6+18+6+11.1+1.5+62.1+61.2+152.6+36.3</f>
        <v>1452.3999999999996</v>
      </c>
      <c r="BQ29" s="39">
        <f>1+36.8+2.9+15.8+1.8+42.8+6.3+297.7+96.3+432.3+87.3+17.5+4.8+15.4+2+49.1+54.3+165.2+38.2+3.3+1.6</f>
        <v>1372.3999999999999</v>
      </c>
      <c r="BR29" s="39">
        <f>3.3+3.3+36.5+2.3+10.2+2.7+47.9+5.1+261.5+120.6+435.5+80.3+16+4.8+13.7+1.5+35.7+40+166.8+39.9+0.8+4.2+0.8</f>
        <v>1333.3999999999999</v>
      </c>
      <c r="BS29" s="39">
        <f>4.8+4.1+36.7+2.9+12.9+1.6+50.7+5.6+287.8+153.8+417.3+58.9+22.3+4.5+7.8+1.3+38.3+43.4+130.9+43.2+1.7+0.3</f>
        <v>1330.8000000000002</v>
      </c>
      <c r="BT29" s="39">
        <f>4.9+1+39.8+4.5+7.3+3.3+61.8+7.5+251.2+168+417.7+49.8+18+6.5+6.3+1.3+31.3+40+110.3+37.1+0.8+3.3+1</f>
        <v>1272.6999999999996</v>
      </c>
      <c r="BU29" s="12"/>
    </row>
    <row r="30" spans="1:73" ht="13.5" customHeight="1" x14ac:dyDescent="0.2">
      <c r="A30" s="11"/>
      <c r="E30" s="36"/>
      <c r="F30" s="36"/>
      <c r="G30" s="36"/>
      <c r="H30" s="36"/>
      <c r="I30" s="36"/>
      <c r="J30" s="36"/>
      <c r="K30" s="36"/>
      <c r="L30" s="36"/>
      <c r="M30" s="36"/>
      <c r="N30" s="17"/>
      <c r="O30" s="17">
        <f>O27</f>
        <v>4621</v>
      </c>
      <c r="P30" s="17">
        <f>P27</f>
        <v>5304</v>
      </c>
      <c r="Q30" s="17">
        <f>SUM(Q27:Q29)</f>
        <v>6585</v>
      </c>
      <c r="R30" s="17">
        <f>SUM(R27:R29)</f>
        <v>7791</v>
      </c>
      <c r="S30" s="17"/>
      <c r="T30" s="17"/>
      <c r="U30" s="17"/>
      <c r="V30" s="17"/>
      <c r="W30" s="17">
        <v>8581</v>
      </c>
      <c r="X30" s="17">
        <v>8727</v>
      </c>
      <c r="Y30" s="17">
        <v>8209</v>
      </c>
      <c r="Z30" s="17">
        <v>8145</v>
      </c>
      <c r="AA30" s="17">
        <f t="shared" ref="AA30:BJ30" si="10">SUM(AA27:AA29)</f>
        <v>7643</v>
      </c>
      <c r="AB30" s="17">
        <f>SUM(AB27:AB29)</f>
        <v>7679</v>
      </c>
      <c r="AC30" s="17">
        <f t="shared" si="10"/>
        <v>7919</v>
      </c>
      <c r="AD30" s="17">
        <f t="shared" si="10"/>
        <v>8205</v>
      </c>
      <c r="AE30" s="17">
        <f t="shared" si="10"/>
        <v>7949</v>
      </c>
      <c r="AF30" s="17">
        <f t="shared" si="10"/>
        <v>7687</v>
      </c>
      <c r="AG30" s="17">
        <f>SUM(AG27:AG29)</f>
        <v>7396</v>
      </c>
      <c r="AH30" s="17">
        <f t="shared" si="10"/>
        <v>7239</v>
      </c>
      <c r="AI30" s="17">
        <f t="shared" si="10"/>
        <v>7531</v>
      </c>
      <c r="AJ30" s="17">
        <f t="shared" si="10"/>
        <v>7874</v>
      </c>
      <c r="AK30" s="17">
        <f t="shared" si="10"/>
        <v>8170</v>
      </c>
      <c r="AL30" s="17">
        <f t="shared" si="10"/>
        <v>8560</v>
      </c>
      <c r="AM30" s="17">
        <f t="shared" si="10"/>
        <v>8854</v>
      </c>
      <c r="AN30" s="17">
        <f t="shared" si="10"/>
        <v>8856</v>
      </c>
      <c r="AO30" s="17">
        <f t="shared" si="10"/>
        <v>8227.2999999999993</v>
      </c>
      <c r="AP30" s="17">
        <f>SUM(AP27:AP29)</f>
        <v>8412.1000000000022</v>
      </c>
      <c r="AQ30" s="17">
        <f t="shared" si="10"/>
        <v>8714.1</v>
      </c>
      <c r="AR30" s="17">
        <f t="shared" si="10"/>
        <v>8849.1000000000022</v>
      </c>
      <c r="AS30" s="17">
        <f t="shared" si="10"/>
        <v>8918.1999999999989</v>
      </c>
      <c r="AT30" s="17">
        <f t="shared" si="10"/>
        <v>8689.5</v>
      </c>
      <c r="AU30" s="17">
        <f t="shared" si="10"/>
        <v>8965.1</v>
      </c>
      <c r="AV30" s="17">
        <f t="shared" si="10"/>
        <v>8994.1999999999989</v>
      </c>
      <c r="AW30" s="17">
        <f t="shared" si="10"/>
        <v>8986.5</v>
      </c>
      <c r="AX30" s="17">
        <f t="shared" si="10"/>
        <v>8958</v>
      </c>
      <c r="AY30" s="17">
        <f>SUM(AY27:AY29)</f>
        <v>9214.0000000000018</v>
      </c>
      <c r="AZ30" s="17">
        <f t="shared" si="10"/>
        <v>9224.2999999999993</v>
      </c>
      <c r="BA30" s="17">
        <f t="shared" si="10"/>
        <v>9162.2000000000007</v>
      </c>
      <c r="BB30" s="17">
        <f t="shared" si="10"/>
        <v>9452</v>
      </c>
      <c r="BC30" s="17">
        <f t="shared" si="10"/>
        <v>9470.9999999999982</v>
      </c>
      <c r="BD30" s="17">
        <f t="shared" si="10"/>
        <v>9546.9</v>
      </c>
      <c r="BE30" s="17">
        <f t="shared" si="10"/>
        <v>9578.7000000000007</v>
      </c>
      <c r="BF30" s="17">
        <f t="shared" si="10"/>
        <v>10031.700000000001</v>
      </c>
      <c r="BG30" s="17">
        <f t="shared" si="10"/>
        <v>10228</v>
      </c>
      <c r="BH30" s="17">
        <f t="shared" si="10"/>
        <v>10189</v>
      </c>
      <c r="BI30" s="17">
        <f t="shared" si="10"/>
        <v>10121.099999999999</v>
      </c>
      <c r="BJ30" s="17">
        <f t="shared" si="10"/>
        <v>10102.399999999998</v>
      </c>
      <c r="BK30" s="17">
        <f t="shared" ref="BK30:BS30" si="11">SUM(BK27:BK29)</f>
        <v>10203.4</v>
      </c>
      <c r="BL30" s="17">
        <f t="shared" si="11"/>
        <v>9919</v>
      </c>
      <c r="BM30" s="17">
        <f t="shared" si="11"/>
        <v>9789.2000000000007</v>
      </c>
      <c r="BN30" s="17">
        <f t="shared" si="11"/>
        <v>9683.5</v>
      </c>
      <c r="BO30" s="17">
        <f t="shared" si="11"/>
        <v>9487.5999999999985</v>
      </c>
      <c r="BP30" s="17">
        <f t="shared" si="11"/>
        <v>9200.7999999999993</v>
      </c>
      <c r="BQ30" s="17">
        <f t="shared" si="11"/>
        <v>8278.7000000000007</v>
      </c>
      <c r="BR30" s="17">
        <f t="shared" si="11"/>
        <v>8427.9</v>
      </c>
      <c r="BS30" s="17">
        <f t="shared" si="11"/>
        <v>8242.5</v>
      </c>
      <c r="BT30" s="17">
        <f t="shared" ref="BT30" si="12">SUM(BT27:BT29)</f>
        <v>8128.3</v>
      </c>
      <c r="BU30" s="12"/>
    </row>
    <row r="31" spans="1:73" ht="13.5" customHeight="1" x14ac:dyDescent="0.2">
      <c r="A31" s="11"/>
      <c r="E31" s="36"/>
      <c r="F31" s="36"/>
      <c r="G31" s="36"/>
      <c r="H31" s="36"/>
      <c r="I31" s="36"/>
      <c r="J31" s="36"/>
      <c r="K31" s="36"/>
      <c r="L31" s="36"/>
      <c r="M31" s="36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2"/>
    </row>
    <row r="32" spans="1:73" ht="13.5" customHeight="1" x14ac:dyDescent="0.2">
      <c r="A32" s="11"/>
      <c r="B32" s="61" t="s">
        <v>73</v>
      </c>
      <c r="C32" s="53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12"/>
    </row>
    <row r="33" spans="1:73" ht="13.5" customHeight="1" x14ac:dyDescent="0.2">
      <c r="A33" s="11"/>
      <c r="C33" s="4" t="s">
        <v>74</v>
      </c>
      <c r="E33" s="36"/>
      <c r="F33" s="36"/>
      <c r="G33" s="36"/>
      <c r="H33" s="36"/>
      <c r="I33" s="36"/>
      <c r="J33" s="36"/>
      <c r="K33" s="36"/>
      <c r="L33" s="36"/>
      <c r="M33" s="3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2"/>
    </row>
    <row r="34" spans="1:73" ht="13.5" customHeight="1" x14ac:dyDescent="0.2">
      <c r="A34" s="11"/>
      <c r="D34" s="2" t="s">
        <v>75</v>
      </c>
      <c r="E34" s="36"/>
      <c r="F34" s="36"/>
      <c r="G34" s="36"/>
      <c r="H34" s="36"/>
      <c r="I34" s="36"/>
      <c r="J34" s="36"/>
      <c r="K34" s="36"/>
      <c r="L34" s="36"/>
      <c r="M34" s="3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>
        <v>11843</v>
      </c>
      <c r="Y34" s="17">
        <v>11188</v>
      </c>
      <c r="Z34" s="17">
        <v>11374</v>
      </c>
      <c r="AA34" s="17">
        <v>10888</v>
      </c>
      <c r="AB34" s="17">
        <v>11053</v>
      </c>
      <c r="AC34" s="17">
        <v>11380</v>
      </c>
      <c r="AD34" s="17">
        <v>12048</v>
      </c>
      <c r="AE34" s="17">
        <v>11747</v>
      </c>
      <c r="AF34" s="17">
        <v>11558</v>
      </c>
      <c r="AG34" s="17">
        <v>11233</v>
      </c>
      <c r="AH34" s="17">
        <v>11082</v>
      </c>
      <c r="AI34" s="17">
        <v>11502</v>
      </c>
      <c r="AJ34" s="17">
        <v>11876</v>
      </c>
      <c r="AK34" s="17">
        <v>12202</v>
      </c>
      <c r="AL34" s="17">
        <v>12872</v>
      </c>
      <c r="AM34" s="17">
        <v>13161</v>
      </c>
      <c r="AN34" s="17">
        <v>12941</v>
      </c>
      <c r="AO34" s="17">
        <v>11774</v>
      </c>
      <c r="AP34" s="17">
        <v>11868</v>
      </c>
      <c r="AQ34" s="17">
        <v>12045</v>
      </c>
      <c r="AR34" s="17">
        <v>12223</v>
      </c>
      <c r="AS34" s="17">
        <v>12197</v>
      </c>
      <c r="AT34" s="17">
        <v>11858</v>
      </c>
      <c r="AU34" s="17">
        <v>12140</v>
      </c>
      <c r="AV34" s="17">
        <v>12069</v>
      </c>
      <c r="AW34" s="17">
        <v>12134</v>
      </c>
      <c r="AX34" s="17">
        <v>12242</v>
      </c>
      <c r="AY34" s="17">
        <v>12250</v>
      </c>
      <c r="AZ34" s="17">
        <v>12068</v>
      </c>
      <c r="BA34" s="17">
        <v>11867</v>
      </c>
      <c r="BB34" s="17">
        <v>12130</v>
      </c>
      <c r="BC34" s="17">
        <f>12027</f>
        <v>12027</v>
      </c>
      <c r="BD34" s="17">
        <v>12131</v>
      </c>
      <c r="BE34" s="17">
        <v>11902</v>
      </c>
      <c r="BF34" s="17">
        <v>12304</v>
      </c>
      <c r="BG34" s="17">
        <v>12529</v>
      </c>
      <c r="BH34" s="17">
        <v>12470</v>
      </c>
      <c r="BI34" s="17">
        <v>12186</v>
      </c>
      <c r="BJ34" s="17">
        <v>12103</v>
      </c>
      <c r="BK34" s="17">
        <v>12148</v>
      </c>
      <c r="BL34" s="17">
        <v>11588</v>
      </c>
      <c r="BM34" s="17">
        <v>10848</v>
      </c>
      <c r="BN34" s="17">
        <v>10565</v>
      </c>
      <c r="BO34" s="17">
        <v>10431</v>
      </c>
      <c r="BP34" s="17">
        <v>9942</v>
      </c>
      <c r="BQ34" s="17">
        <v>9626</v>
      </c>
      <c r="BR34" s="17">
        <v>8850</v>
      </c>
      <c r="BS34" s="17">
        <v>8412</v>
      </c>
      <c r="BT34" s="17">
        <v>8008</v>
      </c>
      <c r="BU34" s="12"/>
    </row>
    <row r="35" spans="1:73" ht="13.5" customHeight="1" x14ac:dyDescent="0.2">
      <c r="A35" s="11"/>
      <c r="D35" s="2" t="s">
        <v>90</v>
      </c>
      <c r="E35" s="36"/>
      <c r="F35" s="36"/>
      <c r="G35" s="36"/>
      <c r="H35" s="36"/>
      <c r="I35" s="36"/>
      <c r="J35" s="36"/>
      <c r="K35" s="36"/>
      <c r="L35" s="36"/>
      <c r="M35" s="36"/>
      <c r="N35" s="17"/>
      <c r="O35" s="17"/>
      <c r="P35" s="17"/>
      <c r="Q35" s="17"/>
      <c r="R35" s="17"/>
      <c r="S35" s="17"/>
      <c r="T35" s="17"/>
      <c r="U35" s="17"/>
      <c r="V35" s="17"/>
      <c r="W35" s="17">
        <v>8442</v>
      </c>
      <c r="X35" s="17">
        <v>8576</v>
      </c>
      <c r="Y35" s="17">
        <v>8062</v>
      </c>
      <c r="Z35" s="17">
        <v>8031</v>
      </c>
      <c r="AA35" s="17">
        <v>7553</v>
      </c>
      <c r="AB35" s="17">
        <v>7592</v>
      </c>
      <c r="AC35" s="17">
        <v>7814</v>
      </c>
      <c r="AD35" s="17">
        <v>8085</v>
      </c>
      <c r="AE35" s="17">
        <v>7856</v>
      </c>
      <c r="AF35" s="17">
        <v>7599</v>
      </c>
      <c r="AG35" s="17">
        <v>7265</v>
      </c>
      <c r="AH35" s="17">
        <v>7144</v>
      </c>
      <c r="AI35" s="17">
        <v>7315</v>
      </c>
      <c r="AJ35" s="17">
        <v>7514</v>
      </c>
      <c r="AK35" s="17">
        <v>7681</v>
      </c>
      <c r="AL35" s="17">
        <v>8062</v>
      </c>
      <c r="AM35" s="17">
        <v>8205</v>
      </c>
      <c r="AN35" s="17">
        <v>8062</v>
      </c>
      <c r="AO35" s="17">
        <v>7249.3</v>
      </c>
      <c r="AP35" s="17">
        <v>7288.1</v>
      </c>
      <c r="AQ35" s="17">
        <v>7531.6</v>
      </c>
      <c r="AR35" s="17">
        <v>7599.8</v>
      </c>
      <c r="AS35" s="17">
        <v>7602</v>
      </c>
      <c r="AT35" s="17">
        <v>7421.9</v>
      </c>
      <c r="AU35" s="17">
        <v>7690.3</v>
      </c>
      <c r="AV35" s="17">
        <v>7775.3</v>
      </c>
      <c r="AW35" s="17">
        <f>7857-98-88+169</f>
        <v>7840</v>
      </c>
      <c r="AX35" s="17">
        <v>7977.6</v>
      </c>
      <c r="AY35" s="17">
        <v>8008.1</v>
      </c>
      <c r="AZ35" s="17">
        <v>7967.9</v>
      </c>
      <c r="BA35" s="17">
        <v>7876</v>
      </c>
      <c r="BB35" s="17">
        <v>8211.2999999999993</v>
      </c>
      <c r="BC35" s="17">
        <v>8184.3</v>
      </c>
      <c r="BD35" s="17">
        <v>8288.2000000000007</v>
      </c>
      <c r="BE35" s="17">
        <v>8170</v>
      </c>
      <c r="BF35" s="17">
        <v>8457</v>
      </c>
      <c r="BG35" s="17">
        <v>8645.2000000000007</v>
      </c>
      <c r="BH35" s="17">
        <v>8538.1</v>
      </c>
      <c r="BI35" s="17">
        <v>8421.7999999999993</v>
      </c>
      <c r="BJ35" s="17">
        <v>8335.7000000000007</v>
      </c>
      <c r="BK35" s="17">
        <v>8378.2999999999993</v>
      </c>
      <c r="BL35" s="17">
        <v>8028.3</v>
      </c>
      <c r="BM35" s="17">
        <v>7597.4</v>
      </c>
      <c r="BN35" s="17">
        <v>7469.9</v>
      </c>
      <c r="BO35" s="17">
        <v>7348.1</v>
      </c>
      <c r="BP35" s="17">
        <v>7012.5</v>
      </c>
      <c r="BQ35" s="17">
        <v>6738.3</v>
      </c>
      <c r="BR35" s="17">
        <v>6087.1</v>
      </c>
      <c r="BS35" s="17">
        <v>5813.2</v>
      </c>
      <c r="BT35" s="17">
        <v>5649.4</v>
      </c>
      <c r="BU35" s="12"/>
    </row>
    <row r="36" spans="1:73" ht="13.5" customHeight="1" x14ac:dyDescent="0.2">
      <c r="A36" s="11"/>
      <c r="C36" s="4" t="s">
        <v>76</v>
      </c>
      <c r="E36" s="36"/>
      <c r="F36" s="36"/>
      <c r="G36" s="36"/>
      <c r="H36" s="36"/>
      <c r="I36" s="36"/>
      <c r="J36" s="36"/>
      <c r="K36" s="36"/>
      <c r="L36" s="36"/>
      <c r="M36" s="36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2"/>
    </row>
    <row r="37" spans="1:73" ht="13.5" customHeight="1" x14ac:dyDescent="0.2">
      <c r="A37" s="11"/>
      <c r="D37" s="2" t="s">
        <v>75</v>
      </c>
      <c r="E37" s="36"/>
      <c r="F37" s="36"/>
      <c r="G37" s="36"/>
      <c r="H37" s="36"/>
      <c r="I37" s="36"/>
      <c r="J37" s="36"/>
      <c r="K37" s="36"/>
      <c r="L37" s="36"/>
      <c r="M37" s="36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>
        <v>484</v>
      </c>
      <c r="Y37" s="17">
        <v>418</v>
      </c>
      <c r="Z37" s="17">
        <v>310</v>
      </c>
      <c r="AA37" s="17">
        <v>383</v>
      </c>
      <c r="AB37" s="17">
        <v>304</v>
      </c>
      <c r="AC37" s="17">
        <v>337</v>
      </c>
      <c r="AD37" s="17">
        <v>342</v>
      </c>
      <c r="AE37" s="17">
        <v>288</v>
      </c>
      <c r="AF37" s="17">
        <v>258</v>
      </c>
      <c r="AG37" s="17">
        <v>363</v>
      </c>
      <c r="AH37" s="17">
        <v>362</v>
      </c>
      <c r="AI37" s="17">
        <v>826</v>
      </c>
      <c r="AJ37" s="17">
        <v>1286</v>
      </c>
      <c r="AK37" s="17">
        <v>1730</v>
      </c>
      <c r="AL37" s="17">
        <v>1763</v>
      </c>
      <c r="AM37" s="17">
        <v>2236</v>
      </c>
      <c r="AN37" s="17">
        <v>2679</v>
      </c>
      <c r="AO37" s="17">
        <v>3152</v>
      </c>
      <c r="AP37" s="17">
        <v>3543</v>
      </c>
      <c r="AQ37" s="17">
        <v>3543</v>
      </c>
      <c r="AR37" s="17">
        <v>3749</v>
      </c>
      <c r="AS37" s="17">
        <v>3897</v>
      </c>
      <c r="AT37" s="17">
        <v>3718</v>
      </c>
      <c r="AU37" s="17">
        <v>3740</v>
      </c>
      <c r="AV37" s="17">
        <v>3525</v>
      </c>
      <c r="AW37" s="17">
        <v>3263</v>
      </c>
      <c r="AX37" s="17">
        <v>2751</v>
      </c>
      <c r="AY37" s="17">
        <v>3408</v>
      </c>
      <c r="AZ37" s="17">
        <v>3531</v>
      </c>
      <c r="BA37" s="17">
        <v>3631</v>
      </c>
      <c r="BB37" s="17">
        <v>3418</v>
      </c>
      <c r="BC37" s="17">
        <v>3501</v>
      </c>
      <c r="BD37" s="17">
        <v>3396</v>
      </c>
      <c r="BE37" s="17">
        <v>3839</v>
      </c>
      <c r="BF37" s="17">
        <v>4230</v>
      </c>
      <c r="BG37" s="17">
        <v>4262</v>
      </c>
      <c r="BH37" s="17">
        <v>4339</v>
      </c>
      <c r="BI37" s="17">
        <v>4519</v>
      </c>
      <c r="BJ37" s="17">
        <v>4706</v>
      </c>
      <c r="BK37" s="17">
        <v>4924</v>
      </c>
      <c r="BL37" s="17">
        <v>5150</v>
      </c>
      <c r="BM37" s="17">
        <v>6141</v>
      </c>
      <c r="BN37" s="17">
        <v>6150</v>
      </c>
      <c r="BO37" s="17">
        <v>6010</v>
      </c>
      <c r="BP37" s="17">
        <v>6046</v>
      </c>
      <c r="BQ37" s="17">
        <v>4248</v>
      </c>
      <c r="BR37" s="17">
        <v>6339</v>
      </c>
      <c r="BS37" s="17">
        <v>6769</v>
      </c>
      <c r="BT37" s="17">
        <v>6792</v>
      </c>
      <c r="BU37" s="12"/>
    </row>
    <row r="38" spans="1:73" ht="13.5" customHeight="1" x14ac:dyDescent="0.2">
      <c r="A38" s="11"/>
      <c r="D38" s="2" t="s">
        <v>90</v>
      </c>
      <c r="E38" s="36"/>
      <c r="F38" s="36"/>
      <c r="G38" s="36"/>
      <c r="H38" s="36"/>
      <c r="I38" s="36"/>
      <c r="J38" s="36"/>
      <c r="K38" s="36"/>
      <c r="L38" s="36"/>
      <c r="M38" s="36"/>
      <c r="N38" s="17"/>
      <c r="O38" s="17"/>
      <c r="P38" s="17"/>
      <c r="Q38" s="17"/>
      <c r="R38" s="17"/>
      <c r="S38" s="17"/>
      <c r="T38" s="17"/>
      <c r="U38" s="17"/>
      <c r="V38" s="17"/>
      <c r="W38" s="17">
        <v>139</v>
      </c>
      <c r="X38" s="17">
        <v>151</v>
      </c>
      <c r="Y38" s="17">
        <v>147</v>
      </c>
      <c r="Z38" s="17">
        <v>114</v>
      </c>
      <c r="AA38" s="17">
        <v>90</v>
      </c>
      <c r="AB38" s="17">
        <v>87</v>
      </c>
      <c r="AC38" s="17">
        <v>105</v>
      </c>
      <c r="AD38" s="17">
        <v>120</v>
      </c>
      <c r="AE38" s="17">
        <v>93</v>
      </c>
      <c r="AF38" s="17">
        <v>88</v>
      </c>
      <c r="AG38" s="17">
        <v>128</v>
      </c>
      <c r="AH38" s="17">
        <v>95</v>
      </c>
      <c r="AI38" s="17">
        <v>216</v>
      </c>
      <c r="AJ38" s="17">
        <v>360</v>
      </c>
      <c r="AK38" s="17">
        <v>489</v>
      </c>
      <c r="AL38" s="17">
        <v>498</v>
      </c>
      <c r="AM38" s="17">
        <v>649</v>
      </c>
      <c r="AN38" s="17">
        <v>795</v>
      </c>
      <c r="AO38" s="17">
        <v>978.1</v>
      </c>
      <c r="AP38" s="17">
        <v>1123.9000000000001</v>
      </c>
      <c r="AQ38" s="17">
        <v>1182.5999999999999</v>
      </c>
      <c r="AR38" s="17">
        <v>1249.0999999999999</v>
      </c>
      <c r="AS38" s="17">
        <v>1316</v>
      </c>
      <c r="AT38" s="17">
        <v>1267.5</v>
      </c>
      <c r="AU38" s="17">
        <v>1274.7</v>
      </c>
      <c r="AV38" s="17">
        <v>1218.7</v>
      </c>
      <c r="AW38" s="17">
        <v>1146.3</v>
      </c>
      <c r="AX38" s="17">
        <v>980.3</v>
      </c>
      <c r="AY38" s="17">
        <v>1205.5999999999999</v>
      </c>
      <c r="AZ38" s="17">
        <v>1256.3</v>
      </c>
      <c r="BA38" s="17">
        <v>1286</v>
      </c>
      <c r="BB38" s="17">
        <v>1240.5999999999999</v>
      </c>
      <c r="BC38" s="17">
        <v>1283.2</v>
      </c>
      <c r="BD38" s="17">
        <v>1258.7</v>
      </c>
      <c r="BE38" s="17">
        <v>1408.4</v>
      </c>
      <c r="BF38" s="17">
        <v>1574.7</v>
      </c>
      <c r="BG38" s="17">
        <v>1582.6</v>
      </c>
      <c r="BH38" s="17">
        <v>1650.8</v>
      </c>
      <c r="BI38" s="17">
        <v>1699.3</v>
      </c>
      <c r="BJ38" s="17">
        <v>1766.3</v>
      </c>
      <c r="BK38" s="17">
        <v>1824.9</v>
      </c>
      <c r="BL38" s="17">
        <v>1890.6</v>
      </c>
      <c r="BM38" s="17">
        <v>2191.4</v>
      </c>
      <c r="BN38" s="17">
        <v>2213.1999999999998</v>
      </c>
      <c r="BO38" s="17">
        <v>2139.3000000000002</v>
      </c>
      <c r="BP38" s="17">
        <v>2188</v>
      </c>
      <c r="BQ38" s="17">
        <v>1540.3</v>
      </c>
      <c r="BR38" s="17">
        <v>2340.6999999999998</v>
      </c>
      <c r="BS38" s="17">
        <v>2428.9</v>
      </c>
      <c r="BT38" s="17">
        <v>2478.8000000000002</v>
      </c>
      <c r="BU38" s="12"/>
    </row>
    <row r="39" spans="1:73" ht="13.5" customHeight="1" x14ac:dyDescent="0.2">
      <c r="A39" s="11"/>
      <c r="B39" s="20"/>
      <c r="C39" s="20"/>
      <c r="D39" s="20"/>
      <c r="E39" s="52"/>
      <c r="F39" s="52"/>
      <c r="G39" s="52"/>
      <c r="H39" s="52"/>
      <c r="I39" s="52"/>
      <c r="J39" s="52"/>
      <c r="K39" s="52"/>
      <c r="L39" s="52"/>
      <c r="M39" s="52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12"/>
    </row>
    <row r="40" spans="1:73" ht="13.5" customHeight="1" x14ac:dyDescent="0.2">
      <c r="A40" s="11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12"/>
    </row>
    <row r="41" spans="1:73" ht="13.5" customHeight="1" x14ac:dyDescent="0.2">
      <c r="A41" s="23"/>
      <c r="B41" s="72" t="s">
        <v>89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24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 t="s">
        <v>112</v>
      </c>
      <c r="BU41" s="26"/>
    </row>
    <row r="43" spans="1:73" ht="13.5" customHeight="1" x14ac:dyDescent="0.2"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</row>
  </sheetData>
  <mergeCells count="1">
    <mergeCell ref="B41:BH41"/>
  </mergeCells>
  <hyperlinks>
    <hyperlink ref="B41" r:id="rId1" display="Source: IPEDS EF and DHE 02" xr:uid="{59F05A20-E17A-417F-A81A-1B9C41ADA4AE}"/>
    <hyperlink ref="B41:D41" r:id="rId2" display="Source: DHE 02, Fall Enrollment Supplement" xr:uid="{EBCF7F1D-EBDE-40C8-ADD0-06FE31F8869B}"/>
    <hyperlink ref="B41:BH41" r:id="rId3" display="Source: DHE 02, Fall Enrollment Supplement" xr:uid="{E2B2F171-CD7A-4826-B1F1-3A388E74BE26}"/>
  </hyperlinks>
  <printOptions horizontalCentered="1"/>
  <pageMargins left="0.7" right="0.45" top="0.5" bottom="0.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2023-09-22T15:05:41Z</cp:lastPrinted>
  <dcterms:created xsi:type="dcterms:W3CDTF">2014-05-20T17:11:19Z</dcterms:created>
  <dcterms:modified xsi:type="dcterms:W3CDTF">2023-09-26T12:29:42Z</dcterms:modified>
</cp:coreProperties>
</file>