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6\"/>
    </mc:Choice>
  </mc:AlternateContent>
  <bookViews>
    <workbookView xWindow="0" yWindow="0" windowWidth="19200" windowHeight="143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F83" i="1"/>
  <c r="I95" i="1" l="1"/>
  <c r="H95" i="1"/>
  <c r="G95" i="1"/>
  <c r="F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J99" i="1"/>
  <c r="O63" i="6" s="1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60" i="6"/>
  <c r="K95" i="1"/>
  <c r="P60" i="6"/>
  <c r="J42" i="1"/>
  <c r="K58" i="1"/>
  <c r="K99" i="1"/>
  <c r="P63" i="6" s="1"/>
  <c r="J58" i="1"/>
</calcChain>
</file>

<file path=xl/sharedStrings.xml><?xml version="1.0" encoding="utf-8"?>
<sst xmlns="http://schemas.openxmlformats.org/spreadsheetml/2006/main" count="635" uniqueCount="332">
  <si>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</si>
  <si>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</si>
  <si>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</si>
  <si>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</si>
  <si>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</si>
  <si>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</si>
  <si>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</si>
  <si>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</si>
  <si>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</si>
  <si>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</si>
  <si>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</si>
  <si>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</si>
  <si>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</si>
  <si>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</si>
  <si>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</si>
  <si>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</si>
  <si>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</si>
  <si>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</si>
  <si>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</si>
  <si>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</si>
  <si>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</si>
  <si>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</si>
  <si>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</si>
  <si>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</si>
  <si>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</si>
  <si>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</si>
  <si>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</si>
  <si>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</si>
  <si>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</si>
  <si>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</si>
  <si>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</si>
  <si>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</si>
  <si>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</si>
  <si>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</si>
  <si>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</si>
  <si>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</si>
  <si>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</si>
  <si>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</si>
  <si>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</si>
  <si>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</si>
  <si>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</si>
  <si>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</si>
  <si>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</si>
  <si>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</si>
  <si>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</si>
  <si>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</si>
  <si>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</si>
  <si>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</si>
  <si>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</si>
  <si>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</si>
  <si>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</si>
  <si>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</si>
  <si>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</si>
  <si>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</si>
  <si>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</si>
  <si>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</si>
  <si>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</si>
  <si>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</si>
  <si>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</si>
  <si>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</si>
  <si>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</si>
  <si>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</si>
  <si>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</si>
  <si>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</si>
  <si>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</si>
  <si>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</si>
  <si>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</si>
  <si>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</si>
  <si>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</si>
  <si>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</si>
  <si>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</si>
  <si>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</si>
  <si>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</si>
  <si>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</si>
  <si>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</si>
  <si>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</si>
  <si>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</si>
  <si>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</si>
  <si>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</si>
  <si>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</si>
  <si>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</si>
  <si>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</si>
  <si>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</si>
  <si>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</si>
  <si>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</si>
  <si>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</si>
  <si>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</si>
  <si>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</si>
  <si>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</si>
  <si>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</si>
  <si>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</si>
  <si>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</si>
  <si>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</si>
  <si>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</si>
  <si>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</si>
  <si>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</si>
  <si>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</si>
  <si>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</si>
  <si>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</si>
  <si>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</si>
  <si>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</si>
  <si>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</si>
  <si>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</si>
  <si>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</si>
  <si>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</si>
  <si>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</si>
  <si>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</si>
  <si>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</si>
  <si>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</si>
  <si>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</si>
  <si>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</si>
  <si>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</si>
  <si>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</si>
  <si>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</si>
  <si>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</si>
  <si>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</si>
  <si>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</si>
  <si>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</si>
  <si>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</si>
  <si>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</si>
  <si>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</si>
  <si>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</si>
  <si>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</si>
  <si>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</si>
  <si>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</si>
  <si>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</si>
  <si>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</si>
  <si>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</si>
  <si>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</si>
  <si>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</si>
  <si>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</si>
  <si>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</si>
  <si>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</si>
  <si>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</si>
  <si>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</si>
  <si>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</si>
  <si>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</si>
  <si>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</si>
  <si>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</si>
  <si>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</si>
  <si>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</si>
  <si>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</si>
  <si>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</si>
  <si>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</si>
  <si>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</si>
  <si>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</si>
  <si>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</si>
  <si>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</si>
  <si>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</si>
  <si>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</si>
  <si>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</si>
  <si>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</si>
  <si>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</si>
  <si>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</si>
  <si>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</si>
  <si>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</si>
  <si>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</si>
  <si>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</si>
  <si>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</si>
  <si>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</si>
  <si>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</si>
  <si>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</si>
  <si>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</si>
  <si>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</si>
  <si>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</si>
  <si>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</si>
  <si>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</si>
  <si>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</si>
  <si>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</si>
  <si>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</si>
  <si>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</si>
  <si>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</si>
  <si>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</si>
  <si>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</si>
  <si>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</si>
  <si>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</si>
  <si>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</si>
  <si>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</si>
  <si>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</si>
  <si>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</si>
  <si>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</si>
  <si>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</si>
  <si>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</si>
  <si>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</si>
  <si>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</si>
  <si>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</si>
  <si>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</si>
  <si>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</si>
  <si>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</si>
  <si>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</si>
  <si>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</si>
  <si>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</si>
  <si>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</si>
  <si>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</si>
  <si>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</si>
  <si>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</si>
  <si>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</si>
  <si>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</si>
  <si>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</si>
  <si>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</si>
  <si>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</si>
  <si>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</si>
  <si>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</si>
  <si>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</si>
  <si>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</si>
  <si>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</si>
  <si>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</si>
  <si>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</si>
  <si>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</si>
  <si>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</si>
  <si>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</si>
  <si>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</si>
  <si>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</si>
  <si>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</si>
  <si>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</si>
  <si>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</si>
  <si>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</si>
  <si>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</si>
  <si>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</si>
  <si>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</si>
  <si>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</si>
  <si>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</si>
  <si>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</si>
  <si>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</si>
  <si>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</si>
  <si>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</si>
  <si>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</si>
  <si>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</si>
  <si>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</si>
  <si>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</si>
  <si>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</si>
  <si>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</si>
  <si>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</si>
  <si>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</si>
  <si>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</si>
  <si>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</si>
  <si>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</si>
  <si>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</si>
  <si>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</si>
  <si>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</si>
  <si>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</si>
  <si>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</si>
  <si>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</si>
  <si>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</si>
  <si>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</si>
  <si>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</si>
  <si>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</si>
  <si>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</si>
  <si>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</si>
  <si>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</si>
  <si>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</si>
  <si>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</si>
  <si>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</si>
  <si>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</si>
  <si>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</si>
  <si>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</si>
  <si>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</si>
  <si>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</si>
  <si>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</si>
  <si>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</si>
  <si>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</si>
  <si>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</si>
  <si>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</si>
  <si>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</si>
  <si>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</si>
  <si>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</si>
  <si>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</si>
  <si>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</si>
  <si>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</si>
  <si>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</si>
  <si>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</si>
  <si>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</si>
  <si>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</si>
  <si>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</si>
  <si>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</si>
  <si>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</si>
  <si>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</si>
  <si>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</si>
  <si>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</si>
  <si>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</si>
  <si>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</si>
  <si>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</si>
  <si>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</si>
  <si>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</si>
  <si>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</si>
  <si>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</si>
  <si>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</si>
  <si>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</si>
  <si>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</si>
  <si>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</si>
  <si>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</si>
  <si>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</si>
  <si>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</si>
  <si>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</si>
  <si>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</si>
  <si>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</si>
  <si>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</si>
  <si>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</si>
  <si>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</si>
  <si>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</si>
  <si>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</si>
  <si>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</si>
  <si>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</si>
  <si>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</si>
  <si>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</si>
  <si>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</si>
  <si>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</si>
  <si>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</si>
  <si>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</si>
  <si>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</si>
  <si>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</si>
  <si>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</si>
  <si>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</si>
  <si>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</si>
  <si>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</si>
  <si>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</si>
  <si>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</si>
  <si>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</si>
  <si>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</si>
  <si>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</si>
  <si>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</si>
  <si>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</si>
  <si>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</si>
  <si>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</si>
  <si>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</si>
  <si>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</si>
  <si>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</si>
  <si>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</si>
  <si>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</si>
  <si>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</si>
  <si>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2015 - June 30, 2016</t>
  </si>
  <si>
    <t>Keely Knackstedt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</si>
</sst>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142875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0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67" t="s">
        <v>94</v>
      </c>
      <c r="E5" s="170"/>
      <c r="F5" s="170"/>
      <c r="G5" s="171"/>
      <c r="H5" s="55"/>
      <c r="I5" s="29"/>
      <c r="K5" s="3"/>
    </row>
    <row r="6" spans="1:14" ht="13.5" hidden="1" thickBot="1" x14ac:dyDescent="0.25">
      <c r="C6" s="5" t="s">
        <v>263</v>
      </c>
      <c r="D6" s="167" t="str">
        <f>VLOOKUP(D5,Institution!$A$2:$E$55,4,FALSE)</f>
        <v>P4Y</v>
      </c>
      <c r="E6" s="170"/>
      <c r="F6" s="170"/>
      <c r="G6" s="171"/>
      <c r="H6" s="55"/>
      <c r="I6" s="29"/>
      <c r="K6" s="3"/>
    </row>
    <row r="7" spans="1:14" ht="13.5" thickBot="1" x14ac:dyDescent="0.25">
      <c r="C7" s="5" t="s">
        <v>37</v>
      </c>
      <c r="D7" s="172">
        <v>42656</v>
      </c>
      <c r="E7" s="173"/>
      <c r="F7" s="173"/>
      <c r="G7" s="174"/>
      <c r="H7" s="55"/>
      <c r="I7" s="29"/>
      <c r="K7" s="3"/>
    </row>
    <row r="8" spans="1:14" ht="13.5" thickBot="1" x14ac:dyDescent="0.25">
      <c r="C8" s="5" t="s">
        <v>52</v>
      </c>
      <c r="D8" s="175" t="s">
        <v>330</v>
      </c>
      <c r="E8" s="175"/>
      <c r="F8" s="175"/>
      <c r="G8" s="175"/>
      <c r="H8" s="55"/>
      <c r="I8" s="134"/>
      <c r="J8" s="55"/>
    </row>
    <row r="9" spans="1:14" ht="13.5" thickBot="1" x14ac:dyDescent="0.25">
      <c r="C9" s="5" t="s">
        <v>3</v>
      </c>
      <c r="D9" s="176"/>
      <c r="E9" s="177"/>
      <c r="F9" s="177"/>
      <c r="G9" s="178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>
        <v>0</v>
      </c>
      <c r="G15" s="68">
        <v>0</v>
      </c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5643</v>
      </c>
      <c r="G16" s="68">
        <v>22480265</v>
      </c>
      <c r="H16" s="73"/>
      <c r="I16" s="74"/>
      <c r="J16" s="71">
        <f t="shared" si="0"/>
        <v>5643</v>
      </c>
      <c r="K16" s="72">
        <f t="shared" si="0"/>
        <v>22480265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>
        <v>0</v>
      </c>
      <c r="G17" s="68">
        <v>0</v>
      </c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>
        <v>0</v>
      </c>
      <c r="G18" s="68">
        <v>0</v>
      </c>
      <c r="H18" s="67">
        <v>0</v>
      </c>
      <c r="I18" s="77">
        <v>0</v>
      </c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1340</v>
      </c>
      <c r="G19" s="68">
        <v>1049185</v>
      </c>
      <c r="H19" s="79"/>
      <c r="I19" s="80"/>
      <c r="J19" s="81">
        <f t="shared" ref="J19:K24" si="3">SUM(F19+H19)</f>
        <v>1340</v>
      </c>
      <c r="K19" s="82">
        <f t="shared" si="3"/>
        <v>1049185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8</v>
      </c>
      <c r="G20" s="77">
        <v>29744</v>
      </c>
      <c r="H20" s="67">
        <v>0</v>
      </c>
      <c r="I20" s="77">
        <v>0</v>
      </c>
      <c r="J20" s="71">
        <f t="shared" si="3"/>
        <v>8</v>
      </c>
      <c r="K20" s="72">
        <f t="shared" si="3"/>
        <v>29744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458</v>
      </c>
      <c r="G21" s="77">
        <v>3311140</v>
      </c>
      <c r="H21" s="67">
        <v>139</v>
      </c>
      <c r="I21" s="77">
        <v>1855160</v>
      </c>
      <c r="J21" s="71">
        <f t="shared" si="3"/>
        <v>597</v>
      </c>
      <c r="K21" s="72">
        <f t="shared" si="3"/>
        <v>5166300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>
        <v>0</v>
      </c>
      <c r="G22" s="77">
        <v>0</v>
      </c>
      <c r="H22" s="67">
        <v>0</v>
      </c>
      <c r="I22" s="77">
        <v>0</v>
      </c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>
        <v>0</v>
      </c>
      <c r="G23" s="77">
        <v>0</v>
      </c>
      <c r="H23" s="67">
        <v>0</v>
      </c>
      <c r="I23" s="77">
        <v>0</v>
      </c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>
        <v>55</v>
      </c>
      <c r="G24" s="77">
        <v>149183</v>
      </c>
      <c r="H24" s="67">
        <v>11</v>
      </c>
      <c r="I24" s="77">
        <v>329493</v>
      </c>
      <c r="J24" s="78">
        <f t="shared" si="3"/>
        <v>66</v>
      </c>
      <c r="K24" s="72">
        <f t="shared" si="3"/>
        <v>478676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332</v>
      </c>
      <c r="G25" s="77">
        <v>820706.5</v>
      </c>
      <c r="H25" s="67">
        <v>143</v>
      </c>
      <c r="I25" s="77">
        <v>1664532</v>
      </c>
      <c r="J25" s="78">
        <f t="shared" ref="J25" si="6">SUM(F25+H25)</f>
        <v>475</v>
      </c>
      <c r="K25" s="72">
        <f>SUM(G25+I25)</f>
        <v>2485238.5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9404</v>
      </c>
      <c r="G27" s="67">
        <v>38596149</v>
      </c>
      <c r="H27" s="67">
        <v>0</v>
      </c>
      <c r="I27" s="67">
        <v>0</v>
      </c>
      <c r="J27" s="78">
        <f t="shared" ref="J27:K32" si="7">SUM(F27+H27)</f>
        <v>9404</v>
      </c>
      <c r="K27" s="72">
        <f t="shared" si="7"/>
        <v>38596149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10668</v>
      </c>
      <c r="G28" s="67">
        <v>39006821</v>
      </c>
      <c r="H28" s="67">
        <v>2687</v>
      </c>
      <c r="I28" s="67">
        <v>50285772</v>
      </c>
      <c r="J28" s="78">
        <f t="shared" si="7"/>
        <v>13355</v>
      </c>
      <c r="K28" s="72">
        <f t="shared" si="7"/>
        <v>89292593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3476</v>
      </c>
      <c r="G29" s="67">
        <v>52969148</v>
      </c>
      <c r="H29" s="67">
        <v>559</v>
      </c>
      <c r="I29" s="67">
        <v>6748903</v>
      </c>
      <c r="J29" s="78">
        <f>SUM(F29+H29)</f>
        <v>4035</v>
      </c>
      <c r="K29" s="72">
        <f>SUM(G29+I29)</f>
        <v>59718051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>
        <v>0</v>
      </c>
      <c r="G30" s="67">
        <v>0</v>
      </c>
      <c r="H30" s="67">
        <v>92</v>
      </c>
      <c r="I30" s="67">
        <v>402750</v>
      </c>
      <c r="J30" s="78">
        <f>SUM(F30+H30)</f>
        <v>92</v>
      </c>
      <c r="K30" s="72">
        <f t="shared" si="7"/>
        <v>402750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>
        <v>0</v>
      </c>
      <c r="G31" s="67">
        <v>0</v>
      </c>
      <c r="H31" s="67">
        <v>2</v>
      </c>
      <c r="I31" s="67">
        <v>18644</v>
      </c>
      <c r="J31" s="78">
        <f t="shared" si="7"/>
        <v>2</v>
      </c>
      <c r="K31" s="72">
        <f t="shared" si="7"/>
        <v>18644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>
        <v>69</v>
      </c>
      <c r="G32" s="67">
        <v>236696</v>
      </c>
      <c r="H32" s="67">
        <v>6</v>
      </c>
      <c r="I32" s="67">
        <v>17900</v>
      </c>
      <c r="J32" s="78">
        <f t="shared" si="7"/>
        <v>75</v>
      </c>
      <c r="K32" s="72">
        <f t="shared" si="7"/>
        <v>254596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491</v>
      </c>
      <c r="G33" s="67">
        <v>1739053</v>
      </c>
      <c r="H33" s="67">
        <v>166</v>
      </c>
      <c r="I33" s="67">
        <v>388061</v>
      </c>
      <c r="J33" s="78">
        <f t="shared" ref="J33:J36" si="8">SUM(F33+H33)</f>
        <v>657</v>
      </c>
      <c r="K33" s="72">
        <f t="shared" ref="K33:K36" si="9">SUM(G33+I33)</f>
        <v>2127114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>
        <v>0</v>
      </c>
      <c r="G35" s="67">
        <v>0</v>
      </c>
      <c r="H35" s="67">
        <v>0</v>
      </c>
      <c r="I35" s="67">
        <v>0</v>
      </c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>
        <v>0</v>
      </c>
      <c r="G36" s="67">
        <v>0</v>
      </c>
      <c r="H36" s="67">
        <v>0</v>
      </c>
      <c r="I36" s="67">
        <v>0</v>
      </c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>
        <v>0</v>
      </c>
      <c r="G37" s="67">
        <v>0</v>
      </c>
      <c r="H37" s="67">
        <v>0</v>
      </c>
      <c r="I37" s="67">
        <v>0</v>
      </c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>
        <v>0</v>
      </c>
      <c r="G38" s="67">
        <v>0</v>
      </c>
      <c r="H38" s="67">
        <v>0</v>
      </c>
      <c r="I38" s="67">
        <v>0</v>
      </c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>
        <v>0</v>
      </c>
      <c r="G39" s="67">
        <v>0</v>
      </c>
      <c r="H39" s="67">
        <v>16</v>
      </c>
      <c r="I39" s="67">
        <v>77567</v>
      </c>
      <c r="J39" s="78">
        <f t="shared" ref="J39" si="11">SUM(F39+H39)</f>
        <v>16</v>
      </c>
      <c r="K39" s="72">
        <f>SUM(G39+I39)</f>
        <v>77567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775</v>
      </c>
      <c r="G41" s="77">
        <v>1162468</v>
      </c>
      <c r="H41" s="118">
        <v>78</v>
      </c>
      <c r="I41" s="119">
        <v>289729.59999999998</v>
      </c>
      <c r="J41" s="78">
        <f>SUM(F41+H41)</f>
        <v>853</v>
      </c>
      <c r="K41" s="72">
        <f>SUM(G41+I41)</f>
        <v>1452197.6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f>SUM(F15:F41)</f>
        <v>32719</v>
      </c>
      <c r="G42" s="83">
        <f>SUM(G15:G41)</f>
        <v>161550558.5</v>
      </c>
      <c r="H42" s="78">
        <f>SUM(H15:H41)</f>
        <v>3899</v>
      </c>
      <c r="I42" s="83">
        <f>SUM(I15:I41)</f>
        <v>62078511.600000001</v>
      </c>
      <c r="J42" s="78">
        <f>SUM(J15:J41)</f>
        <v>36618</v>
      </c>
      <c r="K42" s="72">
        <f>SUM(G42+I42)</f>
        <v>223629070.09999999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>
        <v>632229</v>
      </c>
      <c r="H43" s="84"/>
      <c r="I43" s="85">
        <v>87308</v>
      </c>
      <c r="J43" s="84"/>
      <c r="K43" s="86">
        <f>SUM(G43+I43)</f>
        <v>719537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4309</v>
      </c>
      <c r="G47" s="77">
        <v>13728729</v>
      </c>
      <c r="H47" s="67">
        <v>237</v>
      </c>
      <c r="I47" s="77">
        <v>794325.6</v>
      </c>
      <c r="J47" s="95">
        <f t="shared" ref="J47:K51" si="12">SUM(F47+H47)</f>
        <v>4546</v>
      </c>
      <c r="K47" s="96">
        <f t="shared" si="12"/>
        <v>14523054.6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9615</v>
      </c>
      <c r="G48" s="77">
        <v>51143771</v>
      </c>
      <c r="H48" s="67">
        <v>1395</v>
      </c>
      <c r="I48" s="77">
        <v>7476054</v>
      </c>
      <c r="J48" s="78">
        <f t="shared" si="12"/>
        <v>11010</v>
      </c>
      <c r="K48" s="97">
        <f t="shared" si="12"/>
        <v>58619825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604</v>
      </c>
      <c r="G49" s="77">
        <v>10601979</v>
      </c>
      <c r="H49" s="67">
        <v>30</v>
      </c>
      <c r="I49" s="77">
        <v>405123.9</v>
      </c>
      <c r="J49" s="78">
        <f t="shared" si="12"/>
        <v>634</v>
      </c>
      <c r="K49" s="97">
        <f t="shared" si="12"/>
        <v>11007102.9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2367</v>
      </c>
      <c r="G50" s="77">
        <v>12472208</v>
      </c>
      <c r="H50" s="67">
        <v>4075</v>
      </c>
      <c r="I50" s="77">
        <v>39341178</v>
      </c>
      <c r="J50" s="78">
        <f t="shared" si="12"/>
        <v>6442</v>
      </c>
      <c r="K50" s="97">
        <f t="shared" si="12"/>
        <v>51813386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1250</v>
      </c>
      <c r="G51" s="77">
        <v>2237922</v>
      </c>
      <c r="H51" s="67">
        <v>1035</v>
      </c>
      <c r="I51" s="77">
        <v>2237523</v>
      </c>
      <c r="J51" s="78">
        <f t="shared" si="12"/>
        <v>2285</v>
      </c>
      <c r="K51" s="97">
        <f t="shared" si="12"/>
        <v>4475445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0</v>
      </c>
      <c r="G53" s="77">
        <v>0</v>
      </c>
      <c r="H53" s="67">
        <v>0</v>
      </c>
      <c r="I53" s="77">
        <v>0</v>
      </c>
      <c r="J53" s="95">
        <f>SUM(F53+H53)</f>
        <v>0</v>
      </c>
      <c r="K53" s="96">
        <f>SUM(G53+I53)</f>
        <v>0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57</v>
      </c>
      <c r="G54" s="77">
        <v>202693</v>
      </c>
      <c r="H54" s="67">
        <v>41</v>
      </c>
      <c r="I54" s="77">
        <v>131135</v>
      </c>
      <c r="J54" s="78">
        <f>SUM(F54+H54)</f>
        <v>98</v>
      </c>
      <c r="K54" s="97">
        <f>SUM(G54+I54)</f>
        <v>333828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0</v>
      </c>
      <c r="G56" s="77">
        <v>0</v>
      </c>
      <c r="H56" s="67">
        <v>0</v>
      </c>
      <c r="I56" s="77">
        <v>0</v>
      </c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3247</v>
      </c>
      <c r="G57" s="77">
        <v>16512026</v>
      </c>
      <c r="H57" s="67">
        <v>8351</v>
      </c>
      <c r="I57" s="77">
        <v>42459494</v>
      </c>
      <c r="J57" s="78">
        <f>SUM(F57+H57)</f>
        <v>11598</v>
      </c>
      <c r="K57" s="97">
        <f>SUM(G57+I57)</f>
        <v>58971520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f t="shared" ref="F58:K58" si="13">SUM(F47:F57)</f>
        <v>21449</v>
      </c>
      <c r="G58" s="100">
        <f t="shared" si="13"/>
        <v>106899328</v>
      </c>
      <c r="H58" s="84">
        <f t="shared" si="13"/>
        <v>15164</v>
      </c>
      <c r="I58" s="100">
        <f t="shared" si="13"/>
        <v>92844833.5</v>
      </c>
      <c r="J58" s="84">
        <f t="shared" si="13"/>
        <v>36613</v>
      </c>
      <c r="K58" s="101">
        <f t="shared" si="13"/>
        <v>199744161.5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4668</v>
      </c>
      <c r="G62" s="107">
        <v>7612187</v>
      </c>
      <c r="H62" s="69"/>
      <c r="I62" s="70"/>
      <c r="J62" s="78">
        <f t="shared" ref="J62:K64" si="14">SUM(F62+H62)</f>
        <v>4668</v>
      </c>
      <c r="K62" s="97">
        <f t="shared" si="14"/>
        <v>7612187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>
        <v>0</v>
      </c>
      <c r="G63" s="107">
        <v>0</v>
      </c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>
        <v>4</v>
      </c>
      <c r="G64" s="77">
        <v>25252</v>
      </c>
      <c r="H64" s="67">
        <v>0</v>
      </c>
      <c r="I64" s="77">
        <v>0</v>
      </c>
      <c r="J64" s="78">
        <f t="shared" si="14"/>
        <v>4</v>
      </c>
      <c r="K64" s="97">
        <f t="shared" si="14"/>
        <v>25252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1994</v>
      </c>
      <c r="G65" s="77">
        <v>5690917</v>
      </c>
      <c r="H65" s="69"/>
      <c r="I65" s="70"/>
      <c r="J65" s="95">
        <f t="shared" ref="J65:J77" si="15">SUM(F65+H65)</f>
        <v>1994</v>
      </c>
      <c r="K65" s="96">
        <f t="shared" ref="K65:K84" si="16">SUM(G65+I65)</f>
        <v>5690917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>
        <v>0</v>
      </c>
      <c r="G66" s="77">
        <v>0</v>
      </c>
      <c r="H66" s="67">
        <v>0</v>
      </c>
      <c r="I66" s="77">
        <v>0</v>
      </c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2</v>
      </c>
      <c r="G67" s="107">
        <v>4971.6000000000004</v>
      </c>
      <c r="H67" s="75"/>
      <c r="I67" s="76"/>
      <c r="J67" s="78">
        <f t="shared" si="15"/>
        <v>2</v>
      </c>
      <c r="K67" s="97">
        <f t="shared" si="16"/>
        <v>4971.6000000000004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>
        <v>0</v>
      </c>
      <c r="G69" s="107">
        <v>0</v>
      </c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>
        <v>0</v>
      </c>
      <c r="G70" s="107">
        <v>0</v>
      </c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>
        <v>0</v>
      </c>
      <c r="G71" s="77">
        <v>0</v>
      </c>
      <c r="H71" s="110">
        <v>0</v>
      </c>
      <c r="I71" s="107">
        <v>0</v>
      </c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1</v>
      </c>
      <c r="G72" s="77">
        <v>2703</v>
      </c>
      <c r="H72" s="67">
        <v>0</v>
      </c>
      <c r="I72" s="77">
        <v>0</v>
      </c>
      <c r="J72" s="78">
        <f t="shared" ref="J72" si="21">SUM(F72+H72)</f>
        <v>1</v>
      </c>
      <c r="K72" s="97">
        <f t="shared" ref="K72" si="22">SUM(G72+I72)</f>
        <v>2703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3</v>
      </c>
      <c r="G73" s="77">
        <v>1500</v>
      </c>
      <c r="H73" s="67">
        <v>0</v>
      </c>
      <c r="I73" s="77">
        <v>0</v>
      </c>
      <c r="J73" s="78">
        <f t="shared" ref="J73:J74" si="23">SUM(F73+H73)</f>
        <v>3</v>
      </c>
      <c r="K73" s="97">
        <f t="shared" ref="K73:K74" si="24">SUM(G73+I73)</f>
        <v>1500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4</v>
      </c>
      <c r="G74" s="77">
        <v>7618.75</v>
      </c>
      <c r="H74" s="67">
        <v>1</v>
      </c>
      <c r="I74" s="77">
        <v>3047.5</v>
      </c>
      <c r="J74" s="78">
        <f t="shared" si="23"/>
        <v>5</v>
      </c>
      <c r="K74" s="97">
        <f t="shared" si="24"/>
        <v>10666.25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81</v>
      </c>
      <c r="G75" s="77">
        <v>721094</v>
      </c>
      <c r="H75" s="67">
        <v>22</v>
      </c>
      <c r="I75" s="77">
        <v>215652</v>
      </c>
      <c r="J75" s="78">
        <f t="shared" si="15"/>
        <v>103</v>
      </c>
      <c r="K75" s="97">
        <f t="shared" si="16"/>
        <v>936746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>
        <v>0</v>
      </c>
      <c r="G76" s="77">
        <v>0</v>
      </c>
      <c r="H76" s="67">
        <v>0</v>
      </c>
      <c r="I76" s="77">
        <v>0</v>
      </c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8</v>
      </c>
      <c r="G77" s="77">
        <v>122123.4</v>
      </c>
      <c r="H77" s="67">
        <v>2</v>
      </c>
      <c r="I77" s="77">
        <v>26580</v>
      </c>
      <c r="J77" s="78">
        <f t="shared" si="15"/>
        <v>10</v>
      </c>
      <c r="K77" s="97">
        <f t="shared" si="16"/>
        <v>148703.4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>
        <v>0</v>
      </c>
      <c r="G79" s="77">
        <v>0</v>
      </c>
      <c r="H79" s="67">
        <v>0</v>
      </c>
      <c r="I79" s="77">
        <v>0</v>
      </c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>
        <v>0</v>
      </c>
      <c r="G80" s="77">
        <v>0</v>
      </c>
      <c r="H80" s="67">
        <v>0</v>
      </c>
      <c r="I80" s="77">
        <v>0</v>
      </c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>
        <v>0</v>
      </c>
      <c r="G81" s="77">
        <v>0</v>
      </c>
      <c r="H81" s="67">
        <v>0</v>
      </c>
      <c r="I81" s="77">
        <v>0</v>
      </c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>
        <v>0</v>
      </c>
      <c r="G82" s="77">
        <v>0</v>
      </c>
      <c r="H82" s="67">
        <v>0</v>
      </c>
      <c r="I82" s="77">
        <v>0</v>
      </c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f>SUM(F62:F82)</f>
        <v>6765</v>
      </c>
      <c r="G83" s="83">
        <f>SUM(G62:G82)</f>
        <v>14188366.75</v>
      </c>
      <c r="H83" s="78">
        <f t="shared" ref="H83:I83" si="31">SUM(H62:H82)</f>
        <v>25</v>
      </c>
      <c r="I83" s="83">
        <f t="shared" si="31"/>
        <v>245279.5</v>
      </c>
      <c r="J83" s="78">
        <f t="shared" ref="J83" si="32">SUM(F83+H83)</f>
        <v>6790</v>
      </c>
      <c r="K83" s="97">
        <f t="shared" ref="K83" si="33">SUM(G83+I83)</f>
        <v>14433646.25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>
        <v>0</v>
      </c>
      <c r="H84" s="84"/>
      <c r="I84" s="85">
        <v>0</v>
      </c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3</v>
      </c>
      <c r="G89" s="77">
        <v>4500</v>
      </c>
      <c r="H89" s="67">
        <v>2</v>
      </c>
      <c r="I89" s="77">
        <v>3100</v>
      </c>
      <c r="J89" s="78">
        <f t="shared" ref="J89:K92" si="34">SUM(F89+H89)</f>
        <v>5</v>
      </c>
      <c r="K89" s="94">
        <f t="shared" si="34"/>
        <v>7600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2849</v>
      </c>
      <c r="G90" s="77">
        <v>12748483</v>
      </c>
      <c r="H90" s="67">
        <v>346</v>
      </c>
      <c r="I90" s="77">
        <v>2080669</v>
      </c>
      <c r="J90" s="78">
        <f t="shared" si="34"/>
        <v>3195</v>
      </c>
      <c r="K90" s="94">
        <f t="shared" si="34"/>
        <v>14829152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1785</v>
      </c>
      <c r="G92" s="77">
        <v>22988589</v>
      </c>
      <c r="H92" s="67">
        <v>69</v>
      </c>
      <c r="I92" s="77">
        <v>648934</v>
      </c>
      <c r="J92" s="78">
        <f t="shared" si="34"/>
        <v>1854</v>
      </c>
      <c r="K92" s="94">
        <f t="shared" si="34"/>
        <v>23637523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0</v>
      </c>
      <c r="G94" s="77">
        <v>0</v>
      </c>
      <c r="H94" s="67">
        <v>0</v>
      </c>
      <c r="I94" s="77">
        <v>0</v>
      </c>
      <c r="J94" s="78">
        <f t="shared" ref="J94" si="35">SUM(F94+H94)</f>
        <v>0</v>
      </c>
      <c r="K94" s="94">
        <f t="shared" ref="K94" si="36">SUM(G94+I94)</f>
        <v>0</v>
      </c>
    </row>
    <row r="95" spans="1:11" ht="13.5" thickBot="1" x14ac:dyDescent="0.25">
      <c r="C95" s="36" t="s">
        <v>50</v>
      </c>
      <c r="D95" s="160"/>
      <c r="E95" s="37"/>
      <c r="F95" s="84">
        <f>SUM(F89:F94)</f>
        <v>4637</v>
      </c>
      <c r="G95" s="100">
        <f t="shared" ref="G95:K95" si="37">SUM(G89:G94)</f>
        <v>35741572</v>
      </c>
      <c r="H95" s="84">
        <f t="shared" si="37"/>
        <v>417</v>
      </c>
      <c r="I95" s="100">
        <f t="shared" si="37"/>
        <v>2732703</v>
      </c>
      <c r="J95" s="84">
        <f t="shared" si="37"/>
        <v>5054</v>
      </c>
      <c r="K95" s="101">
        <f t="shared" si="37"/>
        <v>38474275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11646</v>
      </c>
      <c r="G98" s="114">
        <f>SUM(G15:G19,G24,G27,G30:G33,G35,G38,G41,G47,G53,G56,G62,G64,G66,G67,G75,G76,G81,G89)</f>
        <v>87509732.599999994</v>
      </c>
      <c r="H98" s="67">
        <v>583</v>
      </c>
      <c r="I98" s="114">
        <f>SUM(I15:I19,I24,I27,I30:I33,I35,I38,I41,I47,I53,I56,I62,I64,I66,I67,I75,I76,I81,I89)</f>
        <v>2459655.2000000002</v>
      </c>
      <c r="J98" s="95">
        <f>SUM(F98+H98)</f>
        <v>12229</v>
      </c>
      <c r="K98" s="82">
        <f>SUM(G98+I98)</f>
        <v>89969387.799999997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21557</v>
      </c>
      <c r="G99" s="100">
        <f>SUM(G42,G58,G83,G95)</f>
        <v>318379825.25</v>
      </c>
      <c r="H99" s="115">
        <v>6731</v>
      </c>
      <c r="I99" s="100">
        <f>SUM(I42,I58,I83,I95)</f>
        <v>157901327.59999999</v>
      </c>
      <c r="J99" s="84">
        <f>SUM(F99+H99)</f>
        <v>28288</v>
      </c>
      <c r="K99" s="86">
        <f>SUM(G99+I99)</f>
        <v>476281152.85000002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9404</v>
      </c>
      <c r="G100" s="152"/>
      <c r="H100" s="116">
        <f>LARGE((H15:H19,H24,H27,H30,H31,H32,H33,H35,H38,H41,H47,H53,H56,H62,H64,H66,H67,H75,H76,H81,H89),1)</f>
        <v>237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26844</v>
      </c>
      <c r="G101" s="117"/>
      <c r="H101" s="117">
        <f>SUM(H15:H19,H24,H27,H30,H31,H32,H33,H35,H38,H41,H47,H53,H56,H62,H64,H66,H67,H75,H76,H81,H89)</f>
        <v>616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10668</v>
      </c>
      <c r="G102" s="116"/>
      <c r="H102" s="116">
        <f>LARGE((H15:H25,H27:H39,H41,H47:H51,H53:H54,H56:H57,H62:H77,H79:H82,H89:H90,H92,H94),1)</f>
        <v>8351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65570</v>
      </c>
      <c r="G103" s="116"/>
      <c r="H103" s="117">
        <f>SUM(H42,H58,H83,H95)</f>
        <v>19505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2016</v>
      </c>
      <c r="B2" s="127" t="str">
        <f>VLOOKUP(D2,Institution!$A$2:$F$55,2,FALSE)</f>
        <v>178396</v>
      </c>
      <c r="C2" s="127" t="str">
        <f>VLOOKUP(D2,Institution!$A$2:$F$55,6,FALSE)</f>
        <v>1010</v>
      </c>
      <c r="D2" s="127" t="str">
        <f>'DHE14-1'!$D$5</f>
        <v>University of Missouri-Columbia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2016</v>
      </c>
      <c r="B3" s="127" t="str">
        <f>VLOOKUP(D3,Institution!$A$2:$F$55,2,FALSE)</f>
        <v>178396</v>
      </c>
      <c r="C3" s="127" t="str">
        <f>VLOOKUP(D3,Institution!$A$2:$F$55,6,FALSE)</f>
        <v>1010</v>
      </c>
      <c r="D3" s="127" t="str">
        <f>'DHE14-1'!$D$5</f>
        <v>University of Missouri-Columbia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5643</v>
      </c>
      <c r="L3" s="130">
        <f>'DHE14-1'!G16</f>
        <v>22480265</v>
      </c>
      <c r="M3" s="129">
        <f>'DHE14-1'!H16</f>
        <v>0</v>
      </c>
      <c r="N3" s="130">
        <f>'DHE14-1'!I16</f>
        <v>0</v>
      </c>
      <c r="O3" s="129">
        <f>'DHE14-1'!J16</f>
        <v>5643</v>
      </c>
      <c r="P3" s="130">
        <f>'DHE14-1'!K16</f>
        <v>22480265</v>
      </c>
    </row>
    <row r="4" spans="1:16" x14ac:dyDescent="0.2">
      <c r="A4" s="126" t="str">
        <f>RIGHT('DHE14-1'!$D$8,4)</f>
        <v>2016</v>
      </c>
      <c r="B4" s="127" t="str">
        <f>VLOOKUP(D4,Institution!$A$2:$F$55,2,FALSE)</f>
        <v>178396</v>
      </c>
      <c r="C4" s="127" t="str">
        <f>VLOOKUP(D4,Institution!$A$2:$F$55,6,FALSE)</f>
        <v>1010</v>
      </c>
      <c r="D4" s="127" t="str">
        <f>'DHE14-1'!$D$5</f>
        <v>University of Missouri-Columbia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2016</v>
      </c>
      <c r="B5" s="127" t="str">
        <f>VLOOKUP(D5,Institution!$A$2:$F$55,2,FALSE)</f>
        <v>178396</v>
      </c>
      <c r="C5" s="127" t="str">
        <f>VLOOKUP(D5,Institution!$A$2:$F$55,6,FALSE)</f>
        <v>1010</v>
      </c>
      <c r="D5" s="127" t="str">
        <f>'DHE14-1'!$D$5</f>
        <v>University of Missouri-Columbia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2016</v>
      </c>
      <c r="B6" s="127" t="str">
        <f>VLOOKUP(D6,Institution!$A$2:$F$55,2,FALSE)</f>
        <v>178396</v>
      </c>
      <c r="C6" s="127" t="str">
        <f>VLOOKUP(D6,Institution!$A$2:$F$55,6,FALSE)</f>
        <v>1010</v>
      </c>
      <c r="D6" s="127" t="str">
        <f>'DHE14-1'!$D$5</f>
        <v>University of Missouri-Columbia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1340</v>
      </c>
      <c r="L6" s="130">
        <f>'DHE14-1'!G19</f>
        <v>1049185</v>
      </c>
      <c r="M6" s="129">
        <f>'DHE14-1'!H19</f>
        <v>0</v>
      </c>
      <c r="N6" s="130">
        <f>'DHE14-1'!I19</f>
        <v>0</v>
      </c>
      <c r="O6" s="129">
        <f>'DHE14-1'!J19</f>
        <v>1340</v>
      </c>
      <c r="P6" s="130">
        <f>'DHE14-1'!K19</f>
        <v>1049185</v>
      </c>
    </row>
    <row r="7" spans="1:16" x14ac:dyDescent="0.2">
      <c r="A7" s="126" t="str">
        <f>RIGHT('DHE14-1'!$D$8,4)</f>
        <v>2016</v>
      </c>
      <c r="B7" s="127" t="str">
        <f>VLOOKUP(D7,Institution!$A$2:$F$55,2,FALSE)</f>
        <v>178396</v>
      </c>
      <c r="C7" s="127" t="str">
        <f>VLOOKUP(D7,Institution!$A$2:$F$55,6,FALSE)</f>
        <v>1010</v>
      </c>
      <c r="D7" s="127" t="str">
        <f>'DHE14-1'!$D$5</f>
        <v>University of Missouri-Columbia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8</v>
      </c>
      <c r="L7" s="130">
        <f>'DHE14-1'!G20</f>
        <v>29744</v>
      </c>
      <c r="M7" s="129">
        <f>'DHE14-1'!H20</f>
        <v>0</v>
      </c>
      <c r="N7" s="130">
        <f>'DHE14-1'!I20</f>
        <v>0</v>
      </c>
      <c r="O7" s="129">
        <f>'DHE14-1'!J20</f>
        <v>8</v>
      </c>
      <c r="P7" s="130">
        <f>'DHE14-1'!K20</f>
        <v>29744</v>
      </c>
    </row>
    <row r="8" spans="1:16" x14ac:dyDescent="0.2">
      <c r="A8" s="126" t="str">
        <f>RIGHT('DHE14-1'!$D$8,4)</f>
        <v>2016</v>
      </c>
      <c r="B8" s="127" t="str">
        <f>VLOOKUP(D8,Institution!$A$2:$F$55,2,FALSE)</f>
        <v>178396</v>
      </c>
      <c r="C8" s="127" t="str">
        <f>VLOOKUP(D8,Institution!$A$2:$F$55,6,FALSE)</f>
        <v>1010</v>
      </c>
      <c r="D8" s="127" t="str">
        <f>'DHE14-1'!$D$5</f>
        <v>University of Missouri-Columbia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458</v>
      </c>
      <c r="L8" s="130">
        <f>'DHE14-1'!G21</f>
        <v>3311140</v>
      </c>
      <c r="M8" s="129">
        <f>'DHE14-1'!H21</f>
        <v>139</v>
      </c>
      <c r="N8" s="130">
        <f>'DHE14-1'!I21</f>
        <v>1855160</v>
      </c>
      <c r="O8" s="129">
        <f>'DHE14-1'!J21</f>
        <v>597</v>
      </c>
      <c r="P8" s="130">
        <f>'DHE14-1'!K21</f>
        <v>5166300</v>
      </c>
    </row>
    <row r="9" spans="1:16" x14ac:dyDescent="0.2">
      <c r="A9" s="126" t="str">
        <f>RIGHT('DHE14-1'!$D$8,4)</f>
        <v>2016</v>
      </c>
      <c r="B9" s="127" t="str">
        <f>VLOOKUP(D9,Institution!$A$2:$F$55,2,FALSE)</f>
        <v>178396</v>
      </c>
      <c r="C9" s="127" t="str">
        <f>VLOOKUP(D9,Institution!$A$2:$F$55,6,FALSE)</f>
        <v>1010</v>
      </c>
      <c r="D9" s="127" t="str">
        <f>'DHE14-1'!$D$5</f>
        <v>University of Missouri-Columbia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2016</v>
      </c>
      <c r="B10" s="127" t="str">
        <f>VLOOKUP(D10,Institution!$A$2:$F$55,2,FALSE)</f>
        <v>178396</v>
      </c>
      <c r="C10" s="127" t="str">
        <f>VLOOKUP(D10,Institution!$A$2:$F$55,6,FALSE)</f>
        <v>1010</v>
      </c>
      <c r="D10" s="127" t="str">
        <f>'DHE14-1'!$D$5</f>
        <v>University of Missouri-Columbia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2016</v>
      </c>
      <c r="B11" s="127" t="str">
        <f>VLOOKUP(D11,Institution!$A$2:$F$55,2,FALSE)</f>
        <v>178396</v>
      </c>
      <c r="C11" s="127" t="str">
        <f>VLOOKUP(D11,Institution!$A$2:$F$55,6,FALSE)</f>
        <v>1010</v>
      </c>
      <c r="D11" s="127" t="str">
        <f>'DHE14-1'!$D$5</f>
        <v>University of Missouri-Columbia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55</v>
      </c>
      <c r="L11" s="130">
        <f>'DHE14-1'!G24</f>
        <v>149183</v>
      </c>
      <c r="M11" s="129">
        <f>'DHE14-1'!H24</f>
        <v>11</v>
      </c>
      <c r="N11" s="130">
        <f>'DHE14-1'!I24</f>
        <v>329493</v>
      </c>
      <c r="O11" s="129">
        <f>'DHE14-1'!J24</f>
        <v>66</v>
      </c>
      <c r="P11" s="130">
        <f>'DHE14-1'!K24</f>
        <v>478676</v>
      </c>
    </row>
    <row r="12" spans="1:16" x14ac:dyDescent="0.2">
      <c r="A12" s="126" t="str">
        <f>RIGHT('DHE14-1'!$D$8,4)</f>
        <v>2016</v>
      </c>
      <c r="B12" s="127" t="str">
        <f>VLOOKUP(D12,Institution!$A$2:$F$55,2,FALSE)</f>
        <v>178396</v>
      </c>
      <c r="C12" s="127" t="str">
        <f>VLOOKUP(D12,Institution!$A$2:$F$55,6,FALSE)</f>
        <v>1010</v>
      </c>
      <c r="D12" s="127" t="str">
        <f>'DHE14-1'!$D$5</f>
        <v>University of Missouri-Columbia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332</v>
      </c>
      <c r="L12" s="130">
        <f>'DHE14-1'!G25</f>
        <v>820706.5</v>
      </c>
      <c r="M12" s="129">
        <f>'DHE14-1'!H25</f>
        <v>143</v>
      </c>
      <c r="N12" s="130">
        <f>'DHE14-1'!I25</f>
        <v>1664532</v>
      </c>
      <c r="O12" s="129">
        <f>'DHE14-1'!J25</f>
        <v>475</v>
      </c>
      <c r="P12" s="130">
        <f>'DHE14-1'!K25</f>
        <v>2485238.5</v>
      </c>
    </row>
    <row r="13" spans="1:16" x14ac:dyDescent="0.2">
      <c r="A13" s="126" t="str">
        <f>RIGHT('DHE14-1'!$D$8,4)</f>
        <v>2016</v>
      </c>
      <c r="B13" s="127" t="str">
        <f>VLOOKUP(D13,Institution!$A$2:$F$55,2,FALSE)</f>
        <v>178396</v>
      </c>
      <c r="C13" s="127" t="str">
        <f>VLOOKUP(D13,Institution!$A$2:$F$55,6,FALSE)</f>
        <v>1010</v>
      </c>
      <c r="D13" s="127" t="str">
        <f>'DHE14-1'!$D$5</f>
        <v>University of Missouri-Columbia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9404</v>
      </c>
      <c r="L13" s="130">
        <f>'DHE14-1'!G27</f>
        <v>38596149</v>
      </c>
      <c r="M13" s="129">
        <f>'DHE14-1'!H27</f>
        <v>0</v>
      </c>
      <c r="N13" s="130">
        <f>'DHE14-1'!I27</f>
        <v>0</v>
      </c>
      <c r="O13" s="129">
        <f>'DHE14-1'!J27</f>
        <v>9404</v>
      </c>
      <c r="P13" s="130">
        <f>'DHE14-1'!K27</f>
        <v>38596149</v>
      </c>
    </row>
    <row r="14" spans="1:16" x14ac:dyDescent="0.2">
      <c r="A14" s="126" t="str">
        <f>RIGHT('DHE14-1'!$D$8,4)</f>
        <v>2016</v>
      </c>
      <c r="B14" s="127" t="str">
        <f>VLOOKUP(D14,Institution!$A$2:$F$55,2,FALSE)</f>
        <v>178396</v>
      </c>
      <c r="C14" s="127" t="str">
        <f>VLOOKUP(D14,Institution!$A$2:$F$55,6,FALSE)</f>
        <v>1010</v>
      </c>
      <c r="D14" s="127" t="str">
        <f>'DHE14-1'!$D$5</f>
        <v>University of Missouri-Columbia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10668</v>
      </c>
      <c r="L14" s="130">
        <f>'DHE14-1'!G28</f>
        <v>39006821</v>
      </c>
      <c r="M14" s="129">
        <f>'DHE14-1'!H28</f>
        <v>2687</v>
      </c>
      <c r="N14" s="130">
        <f>'DHE14-1'!I28</f>
        <v>50285772</v>
      </c>
      <c r="O14" s="129">
        <f>'DHE14-1'!J28</f>
        <v>13355</v>
      </c>
      <c r="P14" s="130">
        <f>'DHE14-1'!K28</f>
        <v>89292593</v>
      </c>
    </row>
    <row r="15" spans="1:16" x14ac:dyDescent="0.2">
      <c r="A15" s="126" t="str">
        <f>RIGHT('DHE14-1'!$D$8,4)</f>
        <v>2016</v>
      </c>
      <c r="B15" s="127" t="str">
        <f>VLOOKUP(D15,Institution!$A$2:$F$55,2,FALSE)</f>
        <v>178396</v>
      </c>
      <c r="C15" s="127" t="str">
        <f>VLOOKUP(D15,Institution!$A$2:$F$55,6,FALSE)</f>
        <v>1010</v>
      </c>
      <c r="D15" s="127" t="str">
        <f>'DHE14-1'!$D$5</f>
        <v>University of Missouri-Columbia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3476</v>
      </c>
      <c r="L15" s="130">
        <f>'DHE14-1'!G29</f>
        <v>52969148</v>
      </c>
      <c r="M15" s="129">
        <f>'DHE14-1'!H29</f>
        <v>559</v>
      </c>
      <c r="N15" s="130">
        <f>'DHE14-1'!I29</f>
        <v>6748903</v>
      </c>
      <c r="O15" s="129">
        <f>'DHE14-1'!J29</f>
        <v>4035</v>
      </c>
      <c r="P15" s="130">
        <f>'DHE14-1'!K29</f>
        <v>59718051</v>
      </c>
    </row>
    <row r="16" spans="1:16" x14ac:dyDescent="0.2">
      <c r="A16" s="126" t="str">
        <f>RIGHT('DHE14-1'!$D$8,4)</f>
        <v>2016</v>
      </c>
      <c r="B16" s="127" t="str">
        <f>VLOOKUP(D16,Institution!$A$2:$F$55,2,FALSE)</f>
        <v>178396</v>
      </c>
      <c r="C16" s="127" t="str">
        <f>VLOOKUP(D16,Institution!$A$2:$F$55,6,FALSE)</f>
        <v>1010</v>
      </c>
      <c r="D16" s="127" t="str">
        <f>'DHE14-1'!$D$5</f>
        <v>University of Missouri-Columbia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92</v>
      </c>
      <c r="N16" s="130">
        <f>'DHE14-1'!I30</f>
        <v>402750</v>
      </c>
      <c r="O16" s="129">
        <f>'DHE14-1'!J30</f>
        <v>92</v>
      </c>
      <c r="P16" s="130">
        <f>'DHE14-1'!K30</f>
        <v>402750</v>
      </c>
    </row>
    <row r="17" spans="1:16" x14ac:dyDescent="0.2">
      <c r="A17" s="126" t="str">
        <f>RIGHT('DHE14-1'!$D$8,4)</f>
        <v>2016</v>
      </c>
      <c r="B17" s="127" t="str">
        <f>VLOOKUP(D17,Institution!$A$2:$F$55,2,FALSE)</f>
        <v>178396</v>
      </c>
      <c r="C17" s="127" t="str">
        <f>VLOOKUP(D17,Institution!$A$2:$F$55,6,FALSE)</f>
        <v>1010</v>
      </c>
      <c r="D17" s="127" t="str">
        <f>'DHE14-1'!$D$5</f>
        <v>University of Missouri-Columbia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2</v>
      </c>
      <c r="N17" s="130">
        <f>'DHE14-1'!I31</f>
        <v>18644</v>
      </c>
      <c r="O17" s="129">
        <f>'DHE14-1'!J31</f>
        <v>2</v>
      </c>
      <c r="P17" s="130">
        <f>'DHE14-1'!K31</f>
        <v>18644</v>
      </c>
    </row>
    <row r="18" spans="1:16" x14ac:dyDescent="0.2">
      <c r="A18" s="126" t="str">
        <f>RIGHT('DHE14-1'!$D$8,4)</f>
        <v>2016</v>
      </c>
      <c r="B18" s="127" t="str">
        <f>VLOOKUP(D18,Institution!$A$2:$F$55,2,FALSE)</f>
        <v>178396</v>
      </c>
      <c r="C18" s="127" t="str">
        <f>VLOOKUP(D18,Institution!$A$2:$F$55,6,FALSE)</f>
        <v>1010</v>
      </c>
      <c r="D18" s="127" t="str">
        <f>'DHE14-1'!$D$5</f>
        <v>University of Missouri-Columbia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69</v>
      </c>
      <c r="L18" s="130">
        <f>'DHE14-1'!G32</f>
        <v>236696</v>
      </c>
      <c r="M18" s="129">
        <f>'DHE14-1'!H32</f>
        <v>6</v>
      </c>
      <c r="N18" s="130">
        <f>'DHE14-1'!I32</f>
        <v>17900</v>
      </c>
      <c r="O18" s="129">
        <f>'DHE14-1'!J32</f>
        <v>75</v>
      </c>
      <c r="P18" s="130">
        <f>'DHE14-1'!K32</f>
        <v>254596</v>
      </c>
    </row>
    <row r="19" spans="1:16" x14ac:dyDescent="0.2">
      <c r="A19" s="126" t="str">
        <f>RIGHT('DHE14-1'!$D$8,4)</f>
        <v>2016</v>
      </c>
      <c r="B19" s="127" t="str">
        <f>VLOOKUP(D19,Institution!$A$2:$F$55,2,FALSE)</f>
        <v>178396</v>
      </c>
      <c r="C19" s="127" t="str">
        <f>VLOOKUP(D19,Institution!$A$2:$F$55,6,FALSE)</f>
        <v>1010</v>
      </c>
      <c r="D19" s="127" t="str">
        <f>'DHE14-1'!$D$5</f>
        <v>University of Missouri-Columbia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491</v>
      </c>
      <c r="L19" s="130">
        <f>'DHE14-1'!G33</f>
        <v>1739053</v>
      </c>
      <c r="M19" s="129">
        <f>'DHE14-1'!H33</f>
        <v>166</v>
      </c>
      <c r="N19" s="130">
        <f>'DHE14-1'!I33</f>
        <v>388061</v>
      </c>
      <c r="O19" s="129">
        <f>'DHE14-1'!J33</f>
        <v>657</v>
      </c>
      <c r="P19" s="130">
        <f>'DHE14-1'!K33</f>
        <v>2127114</v>
      </c>
    </row>
    <row r="20" spans="1:16" x14ac:dyDescent="0.2">
      <c r="A20" s="126" t="str">
        <f>RIGHT('DHE14-1'!$D$8,4)</f>
        <v>2016</v>
      </c>
      <c r="B20" s="127" t="str">
        <f>VLOOKUP(D20,Institution!$A$2:$F$55,2,FALSE)</f>
        <v>178396</v>
      </c>
      <c r="C20" s="127" t="str">
        <f>VLOOKUP(D20,Institution!$A$2:$F$55,6,FALSE)</f>
        <v>1010</v>
      </c>
      <c r="D20" s="127" t="str">
        <f>'DHE14-1'!$D$5</f>
        <v>University of Missouri-Columbia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2016</v>
      </c>
      <c r="B21" s="127" t="str">
        <f>VLOOKUP(D21,Institution!$A$2:$F$55,2,FALSE)</f>
        <v>178396</v>
      </c>
      <c r="C21" s="127" t="str">
        <f>VLOOKUP(D21,Institution!$A$2:$F$55,6,FALSE)</f>
        <v>1010</v>
      </c>
      <c r="D21" s="127" t="str">
        <f>'DHE14-1'!$D$5</f>
        <v>University of Missouri-Columbia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2016</v>
      </c>
      <c r="B22" s="127" t="str">
        <f>VLOOKUP(D22,Institution!$A$2:$F$55,2,FALSE)</f>
        <v>178396</v>
      </c>
      <c r="C22" s="127" t="str">
        <f>VLOOKUP(D22,Institution!$A$2:$F$55,6,FALSE)</f>
        <v>1010</v>
      </c>
      <c r="D22" s="127" t="str">
        <f>'DHE14-1'!$D$5</f>
        <v>University of Missouri-Columbia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2016</v>
      </c>
      <c r="B23" s="127" t="str">
        <f>VLOOKUP(D23,Institution!$A$2:$F$55,2,FALSE)</f>
        <v>178396</v>
      </c>
      <c r="C23" s="127" t="str">
        <f>VLOOKUP(D23,Institution!$A$2:$F$55,6,FALSE)</f>
        <v>1010</v>
      </c>
      <c r="D23" s="127" t="str">
        <f>'DHE14-1'!$D$5</f>
        <v>University of Missouri-Columbia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2016</v>
      </c>
      <c r="B24" s="127" t="str">
        <f>VLOOKUP(D24,Institution!$A$2:$F$55,2,FALSE)</f>
        <v>178396</v>
      </c>
      <c r="C24" s="127" t="str">
        <f>VLOOKUP(D24,Institution!$A$2:$F$55,6,FALSE)</f>
        <v>1010</v>
      </c>
      <c r="D24" s="127" t="str">
        <f>'DHE14-1'!$D$5</f>
        <v>University of Missouri-Columbia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2016</v>
      </c>
      <c r="B25" s="127" t="str">
        <f>VLOOKUP(D25,Institution!$A$2:$F$55,2,FALSE)</f>
        <v>178396</v>
      </c>
      <c r="C25" s="127" t="str">
        <f>VLOOKUP(D25,Institution!$A$2:$F$55,6,FALSE)</f>
        <v>1010</v>
      </c>
      <c r="D25" s="127" t="str">
        <f>'DHE14-1'!$D$5</f>
        <v>University of Missouri-Columbia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16</v>
      </c>
      <c r="N25" s="130">
        <f>'DHE14-1'!I39</f>
        <v>77567</v>
      </c>
      <c r="O25" s="129">
        <f>'DHE14-1'!J39</f>
        <v>16</v>
      </c>
      <c r="P25" s="130">
        <f>'DHE14-1'!K39</f>
        <v>77567</v>
      </c>
    </row>
    <row r="26" spans="1:16" x14ac:dyDescent="0.2">
      <c r="A26" s="126" t="str">
        <f>RIGHT('DHE14-1'!$D$8,4)</f>
        <v>2016</v>
      </c>
      <c r="B26" s="127" t="str">
        <f>VLOOKUP(D26,Institution!$A$2:$F$55,2,FALSE)</f>
        <v>178396</v>
      </c>
      <c r="C26" s="127" t="str">
        <f>VLOOKUP(D26,Institution!$A$2:$F$55,6,FALSE)</f>
        <v>1010</v>
      </c>
      <c r="D26" s="127" t="str">
        <f>'DHE14-1'!$D$5</f>
        <v>University of Missouri-Columbia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775</v>
      </c>
      <c r="L26" s="130">
        <f>'DHE14-1'!G41</f>
        <v>1162468</v>
      </c>
      <c r="M26" s="129">
        <f>'DHE14-1'!H41</f>
        <v>78</v>
      </c>
      <c r="N26" s="130">
        <f>'DHE14-1'!I41</f>
        <v>289729.59999999998</v>
      </c>
      <c r="O26" s="129">
        <f>'DHE14-1'!J41</f>
        <v>853</v>
      </c>
      <c r="P26" s="130">
        <f>'DHE14-1'!K41</f>
        <v>1452197.6</v>
      </c>
    </row>
    <row r="27" spans="1:16" x14ac:dyDescent="0.2">
      <c r="A27" s="126" t="str">
        <f>RIGHT('DHE14-1'!$D$8,4)</f>
        <v>2016</v>
      </c>
      <c r="B27" s="127" t="str">
        <f>VLOOKUP(D27,Institution!$A$2:$F$55,2,FALSE)</f>
        <v>178396</v>
      </c>
      <c r="C27" s="127" t="str">
        <f>VLOOKUP(D27,Institution!$A$2:$F$55,6,FALSE)</f>
        <v>1010</v>
      </c>
      <c r="D27" s="127" t="str">
        <f>'DHE14-1'!$D$5</f>
        <v>University of Missouri-Columbia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632229</v>
      </c>
      <c r="M27" s="129">
        <f>'DHE14-1'!H43</f>
        <v>0</v>
      </c>
      <c r="N27" s="130">
        <f>'DHE14-1'!I43</f>
        <v>87308</v>
      </c>
      <c r="O27" s="129">
        <f>'DHE14-1'!J43</f>
        <v>0</v>
      </c>
      <c r="P27" s="130">
        <f>'DHE14-1'!K43</f>
        <v>719537</v>
      </c>
    </row>
    <row r="28" spans="1:16" x14ac:dyDescent="0.2">
      <c r="A28" s="126" t="str">
        <f>RIGHT('DHE14-1'!$D$8,4)</f>
        <v>2016</v>
      </c>
      <c r="B28" s="127" t="str">
        <f>VLOOKUP(D28,Institution!$A$2:$F$55,2,FALSE)</f>
        <v>178396</v>
      </c>
      <c r="C28" s="127" t="str">
        <f>VLOOKUP(D28,Institution!$A$2:$F$55,6,FALSE)</f>
        <v>1010</v>
      </c>
      <c r="D28" s="127" t="str">
        <f>'DHE14-1'!$D$5</f>
        <v>University of Missouri-Columbia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4309</v>
      </c>
      <c r="L28" s="130">
        <f>'DHE14-1'!G47</f>
        <v>13728729</v>
      </c>
      <c r="M28" s="129">
        <f>'DHE14-1'!H47</f>
        <v>237</v>
      </c>
      <c r="N28" s="130">
        <f>'DHE14-1'!I47</f>
        <v>794325.6</v>
      </c>
      <c r="O28" s="129">
        <f>'DHE14-1'!J47</f>
        <v>4546</v>
      </c>
      <c r="P28" s="130">
        <f>'DHE14-1'!K47</f>
        <v>14523054.6</v>
      </c>
    </row>
    <row r="29" spans="1:16" x14ac:dyDescent="0.2">
      <c r="A29" s="126" t="str">
        <f>RIGHT('DHE14-1'!$D$8,4)</f>
        <v>2016</v>
      </c>
      <c r="B29" s="127" t="str">
        <f>VLOOKUP(D29,Institution!$A$2:$F$55,2,FALSE)</f>
        <v>178396</v>
      </c>
      <c r="C29" s="127" t="str">
        <f>VLOOKUP(D29,Institution!$A$2:$F$55,6,FALSE)</f>
        <v>1010</v>
      </c>
      <c r="D29" s="127" t="str">
        <f>'DHE14-1'!$D$5</f>
        <v>University of Missouri-Columbia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9615</v>
      </c>
      <c r="L29" s="130">
        <f>'DHE14-1'!G48</f>
        <v>51143771</v>
      </c>
      <c r="M29" s="129">
        <f>'DHE14-1'!H48</f>
        <v>1395</v>
      </c>
      <c r="N29" s="130">
        <f>'DHE14-1'!I48</f>
        <v>7476054</v>
      </c>
      <c r="O29" s="129">
        <f>'DHE14-1'!J48</f>
        <v>11010</v>
      </c>
      <c r="P29" s="130">
        <f>'DHE14-1'!K48</f>
        <v>58619825</v>
      </c>
    </row>
    <row r="30" spans="1:16" x14ac:dyDescent="0.2">
      <c r="A30" s="126" t="str">
        <f>RIGHT('DHE14-1'!$D$8,4)</f>
        <v>2016</v>
      </c>
      <c r="B30" s="127" t="str">
        <f>VLOOKUP(D30,Institution!$A$2:$F$55,2,FALSE)</f>
        <v>178396</v>
      </c>
      <c r="C30" s="127" t="str">
        <f>VLOOKUP(D30,Institution!$A$2:$F$55,6,FALSE)</f>
        <v>1010</v>
      </c>
      <c r="D30" s="127" t="str">
        <f>'DHE14-1'!$D$5</f>
        <v>University of Missouri-Columbia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604</v>
      </c>
      <c r="L30" s="130">
        <f>'DHE14-1'!G49</f>
        <v>10601979</v>
      </c>
      <c r="M30" s="129">
        <f>'DHE14-1'!H49</f>
        <v>30</v>
      </c>
      <c r="N30" s="130">
        <f>'DHE14-1'!I49</f>
        <v>405123.9</v>
      </c>
      <c r="O30" s="129">
        <f>'DHE14-1'!J49</f>
        <v>634</v>
      </c>
      <c r="P30" s="130">
        <f>'DHE14-1'!K49</f>
        <v>11007102.9</v>
      </c>
    </row>
    <row r="31" spans="1:16" x14ac:dyDescent="0.2">
      <c r="A31" s="126" t="str">
        <f>RIGHT('DHE14-1'!$D$8,4)</f>
        <v>2016</v>
      </c>
      <c r="B31" s="127" t="str">
        <f>VLOOKUP(D31,Institution!$A$2:$F$55,2,FALSE)</f>
        <v>178396</v>
      </c>
      <c r="C31" s="127" t="str">
        <f>VLOOKUP(D31,Institution!$A$2:$F$55,6,FALSE)</f>
        <v>1010</v>
      </c>
      <c r="D31" s="127" t="str">
        <f>'DHE14-1'!$D$5</f>
        <v>University of Missouri-Columbia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2367</v>
      </c>
      <c r="L31" s="130">
        <f>'DHE14-1'!G50</f>
        <v>12472208</v>
      </c>
      <c r="M31" s="129">
        <f>'DHE14-1'!H50</f>
        <v>4075</v>
      </c>
      <c r="N31" s="130">
        <f>'DHE14-1'!I50</f>
        <v>39341178</v>
      </c>
      <c r="O31" s="129">
        <f>'DHE14-1'!J50</f>
        <v>6442</v>
      </c>
      <c r="P31" s="130">
        <f>'DHE14-1'!K50</f>
        <v>51813386</v>
      </c>
    </row>
    <row r="32" spans="1:16" x14ac:dyDescent="0.2">
      <c r="A32" s="126" t="str">
        <f>RIGHT('DHE14-1'!$D$8,4)</f>
        <v>2016</v>
      </c>
      <c r="B32" s="127" t="str">
        <f>VLOOKUP(D32,Institution!$A$2:$F$55,2,FALSE)</f>
        <v>178396</v>
      </c>
      <c r="C32" s="127" t="str">
        <f>VLOOKUP(D32,Institution!$A$2:$F$55,6,FALSE)</f>
        <v>1010</v>
      </c>
      <c r="D32" s="127" t="str">
        <f>'DHE14-1'!$D$5</f>
        <v>University of Missouri-Columbia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1250</v>
      </c>
      <c r="L32" s="130">
        <f>'DHE14-1'!G51</f>
        <v>2237922</v>
      </c>
      <c r="M32" s="129">
        <f>'DHE14-1'!H51</f>
        <v>1035</v>
      </c>
      <c r="N32" s="130">
        <f>'DHE14-1'!I51</f>
        <v>2237523</v>
      </c>
      <c r="O32" s="129">
        <f>'DHE14-1'!J51</f>
        <v>2285</v>
      </c>
      <c r="P32" s="130">
        <f>'DHE14-1'!K51</f>
        <v>4475445</v>
      </c>
    </row>
    <row r="33" spans="1:16" x14ac:dyDescent="0.2">
      <c r="A33" s="126" t="str">
        <f>RIGHT('DHE14-1'!$D$8,4)</f>
        <v>2016</v>
      </c>
      <c r="B33" s="127" t="str">
        <f>VLOOKUP(D33,Institution!$A$2:$F$55,2,FALSE)</f>
        <v>178396</v>
      </c>
      <c r="C33" s="127" t="str">
        <f>VLOOKUP(D33,Institution!$A$2:$F$55,6,FALSE)</f>
        <v>1010</v>
      </c>
      <c r="D33" s="127" t="str">
        <f>'DHE14-1'!$D$5</f>
        <v>University of Missouri-Columbia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0</v>
      </c>
      <c r="L33" s="130">
        <f>'DHE14-1'!G53</f>
        <v>0</v>
      </c>
      <c r="M33" s="129">
        <f>'DHE14-1'!H53</f>
        <v>0</v>
      </c>
      <c r="N33" s="130">
        <f>'DHE14-1'!I53</f>
        <v>0</v>
      </c>
      <c r="O33" s="129">
        <f>'DHE14-1'!J53</f>
        <v>0</v>
      </c>
      <c r="P33" s="130">
        <f>'DHE14-1'!K53</f>
        <v>0</v>
      </c>
    </row>
    <row r="34" spans="1:16" x14ac:dyDescent="0.2">
      <c r="A34" s="126" t="str">
        <f>RIGHT('DHE14-1'!$D$8,4)</f>
        <v>2016</v>
      </c>
      <c r="B34" s="127" t="str">
        <f>VLOOKUP(D34,Institution!$A$2:$F$55,2,FALSE)</f>
        <v>178396</v>
      </c>
      <c r="C34" s="127" t="str">
        <f>VLOOKUP(D34,Institution!$A$2:$F$55,6,FALSE)</f>
        <v>1010</v>
      </c>
      <c r="D34" s="127" t="str">
        <f>'DHE14-1'!$D$5</f>
        <v>University of Missouri-Columbia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57</v>
      </c>
      <c r="L34" s="130">
        <f>'DHE14-1'!G54</f>
        <v>202693</v>
      </c>
      <c r="M34" s="129">
        <f>'DHE14-1'!H54</f>
        <v>41</v>
      </c>
      <c r="N34" s="130">
        <f>'DHE14-1'!I54</f>
        <v>131135</v>
      </c>
      <c r="O34" s="129">
        <f>'DHE14-1'!J54</f>
        <v>98</v>
      </c>
      <c r="P34" s="130">
        <f>'DHE14-1'!K54</f>
        <v>333828</v>
      </c>
    </row>
    <row r="35" spans="1:16" x14ac:dyDescent="0.2">
      <c r="A35" s="126" t="str">
        <f>RIGHT('DHE14-1'!$D$8,4)</f>
        <v>2016</v>
      </c>
      <c r="B35" s="127" t="str">
        <f>VLOOKUP(D35,Institution!$A$2:$F$55,2,FALSE)</f>
        <v>178396</v>
      </c>
      <c r="C35" s="127" t="str">
        <f>VLOOKUP(D35,Institution!$A$2:$F$55,6,FALSE)</f>
        <v>1010</v>
      </c>
      <c r="D35" s="127" t="str">
        <f>'DHE14-1'!$D$5</f>
        <v>University of Missouri-Columbia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2016</v>
      </c>
      <c r="B36" s="127" t="str">
        <f>VLOOKUP(D36,Institution!$A$2:$F$55,2,FALSE)</f>
        <v>178396</v>
      </c>
      <c r="C36" s="127" t="str">
        <f>VLOOKUP(D36,Institution!$A$2:$F$55,6,FALSE)</f>
        <v>1010</v>
      </c>
      <c r="D36" s="127" t="str">
        <f>'DHE14-1'!$D$5</f>
        <v>University of Missouri-Columbia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3247</v>
      </c>
      <c r="L36" s="130">
        <f>'DHE14-1'!G57</f>
        <v>16512026</v>
      </c>
      <c r="M36" s="129">
        <f>'DHE14-1'!H57</f>
        <v>8351</v>
      </c>
      <c r="N36" s="130">
        <f>'DHE14-1'!I57</f>
        <v>42459494</v>
      </c>
      <c r="O36" s="129">
        <f>'DHE14-1'!J57</f>
        <v>11598</v>
      </c>
      <c r="P36" s="130">
        <f>'DHE14-1'!K57</f>
        <v>58971520</v>
      </c>
    </row>
    <row r="37" spans="1:16" x14ac:dyDescent="0.2">
      <c r="A37" s="126" t="str">
        <f>RIGHT('DHE14-1'!$D$8,4)</f>
        <v>2016</v>
      </c>
      <c r="B37" s="127" t="str">
        <f>VLOOKUP(D37,Institution!$A$2:$F$55,2,FALSE)</f>
        <v>178396</v>
      </c>
      <c r="C37" s="127" t="str">
        <f>VLOOKUP(D37,Institution!$A$2:$F$55,6,FALSE)</f>
        <v>1010</v>
      </c>
      <c r="D37" s="127" t="str">
        <f>'DHE14-1'!$D$5</f>
        <v>University of Missouri-Columbia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4668</v>
      </c>
      <c r="L37" s="130">
        <f>'DHE14-1'!G62</f>
        <v>7612187</v>
      </c>
      <c r="M37" s="129">
        <f>'DHE14-1'!H62</f>
        <v>0</v>
      </c>
      <c r="N37" s="130">
        <f>'DHE14-1'!I62</f>
        <v>0</v>
      </c>
      <c r="O37" s="129">
        <f>'DHE14-1'!J62</f>
        <v>4668</v>
      </c>
      <c r="P37" s="130">
        <f>'DHE14-1'!K62</f>
        <v>7612187</v>
      </c>
    </row>
    <row r="38" spans="1:16" x14ac:dyDescent="0.2">
      <c r="A38" s="126" t="str">
        <f>RIGHT('DHE14-1'!$D$8,4)</f>
        <v>2016</v>
      </c>
      <c r="B38" s="127" t="str">
        <f>VLOOKUP(D38,Institution!$A$2:$F$55,2,FALSE)</f>
        <v>178396</v>
      </c>
      <c r="C38" s="127" t="str">
        <f>VLOOKUP(D38,Institution!$A$2:$F$55,6,FALSE)</f>
        <v>1010</v>
      </c>
      <c r="D38" s="127" t="str">
        <f>'DHE14-1'!$D$5</f>
        <v>University of Missouri-Columbia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2016</v>
      </c>
      <c r="B39" s="127" t="str">
        <f>VLOOKUP(D39,Institution!$A$2:$F$55,2,FALSE)</f>
        <v>178396</v>
      </c>
      <c r="C39" s="127" t="str">
        <f>VLOOKUP(D39,Institution!$A$2:$F$55,6,FALSE)</f>
        <v>1010</v>
      </c>
      <c r="D39" s="127" t="str">
        <f>'DHE14-1'!$D$5</f>
        <v>University of Missouri-Columbia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4</v>
      </c>
      <c r="L39" s="130">
        <f>'DHE14-1'!G64</f>
        <v>25252</v>
      </c>
      <c r="M39" s="129">
        <f>'DHE14-1'!H64</f>
        <v>0</v>
      </c>
      <c r="N39" s="130">
        <f>'DHE14-1'!I64</f>
        <v>0</v>
      </c>
      <c r="O39" s="129">
        <f>'DHE14-1'!J64</f>
        <v>4</v>
      </c>
      <c r="P39" s="130">
        <f>'DHE14-1'!K64</f>
        <v>25252</v>
      </c>
    </row>
    <row r="40" spans="1:16" x14ac:dyDescent="0.2">
      <c r="A40" s="126" t="str">
        <f>RIGHT('DHE14-1'!$D$8,4)</f>
        <v>2016</v>
      </c>
      <c r="B40" s="127" t="str">
        <f>VLOOKUP(D40,Institution!$A$2:$F$55,2,FALSE)</f>
        <v>178396</v>
      </c>
      <c r="C40" s="127" t="str">
        <f>VLOOKUP(D40,Institution!$A$2:$F$55,6,FALSE)</f>
        <v>1010</v>
      </c>
      <c r="D40" s="127" t="str">
        <f>'DHE14-1'!$D$5</f>
        <v>University of Missouri-Columbia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1994</v>
      </c>
      <c r="L40" s="130">
        <f>'DHE14-1'!G65</f>
        <v>5690917</v>
      </c>
      <c r="M40" s="129">
        <f>'DHE14-1'!H65</f>
        <v>0</v>
      </c>
      <c r="N40" s="130">
        <f>'DHE14-1'!I65</f>
        <v>0</v>
      </c>
      <c r="O40" s="129">
        <f>'DHE14-1'!J65</f>
        <v>1994</v>
      </c>
      <c r="P40" s="130">
        <f>'DHE14-1'!K65</f>
        <v>5690917</v>
      </c>
    </row>
    <row r="41" spans="1:16" x14ac:dyDescent="0.2">
      <c r="A41" s="126" t="str">
        <f>RIGHT('DHE14-1'!$D$8,4)</f>
        <v>2016</v>
      </c>
      <c r="B41" s="127" t="str">
        <f>VLOOKUP(D41,Institution!$A$2:$F$55,2,FALSE)</f>
        <v>178396</v>
      </c>
      <c r="C41" s="127" t="str">
        <f>VLOOKUP(D41,Institution!$A$2:$F$55,6,FALSE)</f>
        <v>1010</v>
      </c>
      <c r="D41" s="127" t="str">
        <f>'DHE14-1'!$D$5</f>
        <v>University of Missouri-Columbia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2016</v>
      </c>
      <c r="B42" s="127" t="str">
        <f>VLOOKUP(D42,Institution!$A$2:$F$55,2,FALSE)</f>
        <v>178396</v>
      </c>
      <c r="C42" s="127" t="str">
        <f>VLOOKUP(D42,Institution!$A$2:$F$55,6,FALSE)</f>
        <v>1010</v>
      </c>
      <c r="D42" s="127" t="str">
        <f>'DHE14-1'!$D$5</f>
        <v>University of Missouri-Columbia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2</v>
      </c>
      <c r="L42" s="130">
        <f>'DHE14-1'!G67</f>
        <v>4971.6000000000004</v>
      </c>
      <c r="M42" s="129">
        <f>'DHE14-1'!H67</f>
        <v>0</v>
      </c>
      <c r="N42" s="130">
        <f>'DHE14-1'!I67</f>
        <v>0</v>
      </c>
      <c r="O42" s="129">
        <f>'DHE14-1'!J67</f>
        <v>2</v>
      </c>
      <c r="P42" s="130">
        <f>'DHE14-1'!K67</f>
        <v>4971.6000000000004</v>
      </c>
    </row>
    <row r="43" spans="1:16" x14ac:dyDescent="0.2">
      <c r="A43" s="126" t="str">
        <f>RIGHT('DHE14-1'!$D$8,4)</f>
        <v>2016</v>
      </c>
      <c r="B43" s="127" t="str">
        <f>VLOOKUP(D43,Institution!$A$2:$F$55,2,FALSE)</f>
        <v>178396</v>
      </c>
      <c r="C43" s="127" t="str">
        <f>VLOOKUP(D43,Institution!$A$2:$F$55,6,FALSE)</f>
        <v>1010</v>
      </c>
      <c r="D43" s="127" t="str">
        <f>'DHE14-1'!$D$5</f>
        <v>University of Missouri-Columbia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2016</v>
      </c>
      <c r="B44" s="127" t="str">
        <f>VLOOKUP(D44,Institution!$A$2:$F$55,2,FALSE)</f>
        <v>178396</v>
      </c>
      <c r="C44" s="127" t="str">
        <f>VLOOKUP(D44,Institution!$A$2:$F$55,6,FALSE)</f>
        <v>1010</v>
      </c>
      <c r="D44" s="127" t="str">
        <f>'DHE14-1'!$D$5</f>
        <v>University of Missouri-Columbia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2016</v>
      </c>
      <c r="B45" s="127" t="str">
        <f>VLOOKUP(D45,Institution!$A$2:$F$55,2,FALSE)</f>
        <v>178396</v>
      </c>
      <c r="C45" s="127" t="str">
        <f>VLOOKUP(D45,Institution!$A$2:$F$55,6,FALSE)</f>
        <v>1010</v>
      </c>
      <c r="D45" s="127" t="str">
        <f>'DHE14-1'!$D$5</f>
        <v>University of Missouri-Columbia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2016</v>
      </c>
      <c r="B46" s="127" t="str">
        <f>VLOOKUP(D46,Institution!$A$2:$F$55,2,FALSE)</f>
        <v>178396</v>
      </c>
      <c r="C46" s="127" t="str">
        <f>VLOOKUP(D46,Institution!$A$2:$F$55,6,FALSE)</f>
        <v>1010</v>
      </c>
      <c r="D46" s="127" t="str">
        <f>'DHE14-1'!$D$5</f>
        <v>University of Missouri-Columbia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2016</v>
      </c>
      <c r="B47" s="127" t="str">
        <f>VLOOKUP(D47,Institution!$A$2:$F$55,2,FALSE)</f>
        <v>178396</v>
      </c>
      <c r="C47" s="127" t="str">
        <f>VLOOKUP(D47,Institution!$A$2:$F$55,6,FALSE)</f>
        <v>1010</v>
      </c>
      <c r="D47" s="127" t="str">
        <f>'DHE14-1'!$D$5</f>
        <v>University of Missouri-Columbia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1</v>
      </c>
      <c r="L47" s="130">
        <f>'DHE14-1'!G72</f>
        <v>2703</v>
      </c>
      <c r="M47" s="129">
        <f>'DHE14-1'!H72</f>
        <v>0</v>
      </c>
      <c r="N47" s="130">
        <f>'DHE14-1'!I72</f>
        <v>0</v>
      </c>
      <c r="O47" s="129">
        <f>'DHE14-1'!J72</f>
        <v>1</v>
      </c>
      <c r="P47" s="130">
        <f>'DHE14-1'!K72</f>
        <v>2703</v>
      </c>
    </row>
    <row r="48" spans="1:16" x14ac:dyDescent="0.2">
      <c r="A48" s="126" t="str">
        <f>RIGHT('DHE14-1'!$D$8,4)</f>
        <v>2016</v>
      </c>
      <c r="B48" s="127" t="str">
        <f>VLOOKUP(D48,Institution!$A$2:$F$55,2,FALSE)</f>
        <v>178396</v>
      </c>
      <c r="C48" s="127" t="str">
        <f>VLOOKUP(D48,Institution!$A$2:$F$55,6,FALSE)</f>
        <v>1010</v>
      </c>
      <c r="D48" s="127" t="str">
        <f>'DHE14-1'!$D$5</f>
        <v>University of Missouri-Columbia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3</v>
      </c>
      <c r="L48" s="130">
        <f>'DHE14-1'!G73</f>
        <v>1500</v>
      </c>
      <c r="M48" s="129">
        <f>'DHE14-1'!H73</f>
        <v>0</v>
      </c>
      <c r="N48" s="130">
        <f>'DHE14-1'!I73</f>
        <v>0</v>
      </c>
      <c r="O48" s="129">
        <f>'DHE14-1'!J73</f>
        <v>3</v>
      </c>
      <c r="P48" s="130">
        <f>'DHE14-1'!K73</f>
        <v>1500</v>
      </c>
    </row>
    <row r="49" spans="1:16" x14ac:dyDescent="0.2">
      <c r="A49" s="126" t="str">
        <f>RIGHT('DHE14-1'!$D$8,4)</f>
        <v>2016</v>
      </c>
      <c r="B49" s="127" t="str">
        <f>VLOOKUP(D49,Institution!$A$2:$F$55,2,FALSE)</f>
        <v>178396</v>
      </c>
      <c r="C49" s="127" t="str">
        <f>VLOOKUP(D49,Institution!$A$2:$F$55,6,FALSE)</f>
        <v>1010</v>
      </c>
      <c r="D49" s="127" t="str">
        <f>'DHE14-1'!$D$5</f>
        <v>University of Missouri-Columbia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4</v>
      </c>
      <c r="L49" s="130">
        <f>'DHE14-1'!G74</f>
        <v>7618.75</v>
      </c>
      <c r="M49" s="129">
        <f>'DHE14-1'!H74</f>
        <v>1</v>
      </c>
      <c r="N49" s="130">
        <f>'DHE14-1'!I74</f>
        <v>3047.5</v>
      </c>
      <c r="O49" s="129">
        <f>'DHE14-1'!J74</f>
        <v>5</v>
      </c>
      <c r="P49" s="130">
        <f>'DHE14-1'!K74</f>
        <v>10666.25</v>
      </c>
    </row>
    <row r="50" spans="1:16" x14ac:dyDescent="0.2">
      <c r="A50" s="126" t="str">
        <f>RIGHT('DHE14-1'!$D$8,4)</f>
        <v>2016</v>
      </c>
      <c r="B50" s="127" t="str">
        <f>VLOOKUP(D50,Institution!$A$2:$F$55,2,FALSE)</f>
        <v>178396</v>
      </c>
      <c r="C50" s="127" t="str">
        <f>VLOOKUP(D50,Institution!$A$2:$F$55,6,FALSE)</f>
        <v>1010</v>
      </c>
      <c r="D50" s="127" t="str">
        <f>'DHE14-1'!$D$5</f>
        <v>University of Missouri-Columbia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81</v>
      </c>
      <c r="L50" s="130">
        <f>'DHE14-1'!G75</f>
        <v>721094</v>
      </c>
      <c r="M50" s="129">
        <f>'DHE14-1'!H75</f>
        <v>22</v>
      </c>
      <c r="N50" s="130">
        <f>'DHE14-1'!I75</f>
        <v>215652</v>
      </c>
      <c r="O50" s="129">
        <f>'DHE14-1'!J75</f>
        <v>103</v>
      </c>
      <c r="P50" s="130">
        <f>'DHE14-1'!K75</f>
        <v>936746</v>
      </c>
    </row>
    <row r="51" spans="1:16" x14ac:dyDescent="0.2">
      <c r="A51" s="126" t="str">
        <f>RIGHT('DHE14-1'!$D$8,4)</f>
        <v>2016</v>
      </c>
      <c r="B51" s="127" t="str">
        <f>VLOOKUP(D51,Institution!$A$2:$F$55,2,FALSE)</f>
        <v>178396</v>
      </c>
      <c r="C51" s="127" t="str">
        <f>VLOOKUP(D51,Institution!$A$2:$F$55,6,FALSE)</f>
        <v>1010</v>
      </c>
      <c r="D51" s="127" t="str">
        <f>'DHE14-1'!$D$5</f>
        <v>University of Missouri-Columbia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2016</v>
      </c>
      <c r="B52" s="127" t="str">
        <f>VLOOKUP(D52,Institution!$A$2:$F$55,2,FALSE)</f>
        <v>178396</v>
      </c>
      <c r="C52" s="127" t="str">
        <f>VLOOKUP(D52,Institution!$A$2:$F$55,6,FALSE)</f>
        <v>1010</v>
      </c>
      <c r="D52" s="127" t="str">
        <f>'DHE14-1'!$D$5</f>
        <v>University of Missouri-Columbia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8</v>
      </c>
      <c r="L52" s="130">
        <f>'DHE14-1'!G77</f>
        <v>122123.4</v>
      </c>
      <c r="M52" s="129">
        <f>'DHE14-1'!H77</f>
        <v>2</v>
      </c>
      <c r="N52" s="130">
        <f>'DHE14-1'!I77</f>
        <v>26580</v>
      </c>
      <c r="O52" s="129">
        <f>'DHE14-1'!J77</f>
        <v>10</v>
      </c>
      <c r="P52" s="130">
        <f>'DHE14-1'!K77</f>
        <v>148703.4</v>
      </c>
    </row>
    <row r="53" spans="1:16" x14ac:dyDescent="0.2">
      <c r="A53" s="126" t="str">
        <f>RIGHT('DHE14-1'!$D$8,4)</f>
        <v>2016</v>
      </c>
      <c r="B53" s="127" t="str">
        <f>VLOOKUP(D53,Institution!$A$2:$F$55,2,FALSE)</f>
        <v>178396</v>
      </c>
      <c r="C53" s="127" t="str">
        <f>VLOOKUP(D53,Institution!$A$2:$F$55,6,FALSE)</f>
        <v>1010</v>
      </c>
      <c r="D53" s="127" t="str">
        <f>'DHE14-1'!$D$5</f>
        <v>University of Missouri-Columbia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2016</v>
      </c>
      <c r="B54" s="127" t="str">
        <f>VLOOKUP(D54,Institution!$A$2:$F$55,2,FALSE)</f>
        <v>178396</v>
      </c>
      <c r="C54" s="127" t="str">
        <f>VLOOKUP(D54,Institution!$A$2:$F$55,6,FALSE)</f>
        <v>1010</v>
      </c>
      <c r="D54" s="127" t="str">
        <f>'DHE14-1'!$D$5</f>
        <v>University of Missouri-Columbia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2016</v>
      </c>
      <c r="B55" s="127" t="str">
        <f>VLOOKUP(D55,Institution!$A$2:$F$55,2,FALSE)</f>
        <v>178396</v>
      </c>
      <c r="C55" s="127" t="str">
        <f>VLOOKUP(D55,Institution!$A$2:$F$55,6,FALSE)</f>
        <v>1010</v>
      </c>
      <c r="D55" s="127" t="str">
        <f>'DHE14-1'!$D$5</f>
        <v>University of Missouri-Columbia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2016</v>
      </c>
      <c r="B56" s="127" t="str">
        <f>VLOOKUP(D56,Institution!$A$2:$F$55,2,FALSE)</f>
        <v>178396</v>
      </c>
      <c r="C56" s="127" t="str">
        <f>VLOOKUP(D56,Institution!$A$2:$F$55,6,FALSE)</f>
        <v>1010</v>
      </c>
      <c r="D56" s="127" t="str">
        <f>'DHE14-1'!$D$5</f>
        <v>University of Missouri-Columbia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2016</v>
      </c>
      <c r="B57" s="127" t="str">
        <f>VLOOKUP(D57,Institution!$A$2:$F$55,2,FALSE)</f>
        <v>178396</v>
      </c>
      <c r="C57" s="127" t="str">
        <f>VLOOKUP(D57,Institution!$A$2:$F$55,6,FALSE)</f>
        <v>1010</v>
      </c>
      <c r="D57" s="127" t="str">
        <f>'DHE14-1'!$D$5</f>
        <v>University of Missouri-Columbia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2016</v>
      </c>
      <c r="B58" s="127" t="str">
        <f>VLOOKUP(D58,Institution!$A$2:$F$55,2,FALSE)</f>
        <v>178396</v>
      </c>
      <c r="C58" s="127" t="str">
        <f>VLOOKUP(D58,Institution!$A$2:$F$55,6,FALSE)</f>
        <v>1010</v>
      </c>
      <c r="D58" s="127" t="str">
        <f>'DHE14-1'!$D$5</f>
        <v>University of Missouri-Columbia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3</v>
      </c>
      <c r="L58" s="130">
        <f>'DHE14-1'!G89</f>
        <v>4500</v>
      </c>
      <c r="M58" s="129">
        <f>'DHE14-1'!H89</f>
        <v>2</v>
      </c>
      <c r="N58" s="130">
        <f>'DHE14-1'!I89</f>
        <v>3100</v>
      </c>
      <c r="O58" s="129">
        <f>'DHE14-1'!J89</f>
        <v>5</v>
      </c>
      <c r="P58" s="130">
        <f>'DHE14-1'!K89</f>
        <v>7600</v>
      </c>
    </row>
    <row r="59" spans="1:16" x14ac:dyDescent="0.2">
      <c r="A59" s="126" t="str">
        <f>RIGHT('DHE14-1'!$D$8,4)</f>
        <v>2016</v>
      </c>
      <c r="B59" s="127" t="str">
        <f>VLOOKUP(D59,Institution!$A$2:$F$55,2,FALSE)</f>
        <v>178396</v>
      </c>
      <c r="C59" s="127" t="str">
        <f>VLOOKUP(D59,Institution!$A$2:$F$55,6,FALSE)</f>
        <v>1010</v>
      </c>
      <c r="D59" s="127" t="str">
        <f>'DHE14-1'!$D$5</f>
        <v>University of Missouri-Columbia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2849</v>
      </c>
      <c r="L59" s="130">
        <f>'DHE14-1'!G90</f>
        <v>12748483</v>
      </c>
      <c r="M59" s="129">
        <f>'DHE14-1'!H90</f>
        <v>346</v>
      </c>
      <c r="N59" s="130">
        <f>'DHE14-1'!I90</f>
        <v>2080669</v>
      </c>
      <c r="O59" s="129">
        <f>'DHE14-1'!J90</f>
        <v>3195</v>
      </c>
      <c r="P59" s="130">
        <f>'DHE14-1'!K90</f>
        <v>14829152</v>
      </c>
    </row>
    <row r="60" spans="1:16" x14ac:dyDescent="0.2">
      <c r="A60" s="126" t="str">
        <f>RIGHT('DHE14-1'!$D$8,4)</f>
        <v>2016</v>
      </c>
      <c r="B60" s="127" t="str">
        <f>VLOOKUP(D60,Institution!$A$2:$F$55,2,FALSE)</f>
        <v>178396</v>
      </c>
      <c r="C60" s="127" t="str">
        <f>VLOOKUP(D60,Institution!$A$2:$F$55,6,FALSE)</f>
        <v>1010</v>
      </c>
      <c r="D60" s="127" t="str">
        <f>'DHE14-1'!$D$5</f>
        <v>University of Missouri-Columbia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1785</v>
      </c>
      <c r="L60" s="130">
        <f>'DHE14-1'!G92</f>
        <v>22988589</v>
      </c>
      <c r="M60" s="129">
        <f>'DHE14-1'!H92</f>
        <v>69</v>
      </c>
      <c r="N60" s="130">
        <f>'DHE14-1'!I92</f>
        <v>648934</v>
      </c>
      <c r="O60" s="129">
        <f>'DHE14-1'!J92</f>
        <v>1854</v>
      </c>
      <c r="P60" s="130">
        <f>'DHE14-1'!K92</f>
        <v>23637523</v>
      </c>
    </row>
    <row r="61" spans="1:16" x14ac:dyDescent="0.2">
      <c r="A61" s="126" t="str">
        <f>RIGHT('DHE14-1'!$D$8,4)</f>
        <v>2016</v>
      </c>
      <c r="B61" s="127" t="str">
        <f>VLOOKUP(D61,Institution!$A$2:$F$55,2,FALSE)</f>
        <v>178396</v>
      </c>
      <c r="C61" s="127" t="str">
        <f>VLOOKUP(D61,Institution!$A$2:$F$55,6,FALSE)</f>
        <v>1010</v>
      </c>
      <c r="D61" s="127" t="str">
        <f>'DHE14-1'!$D$5</f>
        <v>University of Missouri-Columbia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0</v>
      </c>
      <c r="L61" s="130">
        <f>'DHE14-1'!G94</f>
        <v>0</v>
      </c>
      <c r="M61" s="129">
        <f>'DHE14-1'!H94</f>
        <v>0</v>
      </c>
      <c r="N61" s="130">
        <f>'DHE14-1'!I94</f>
        <v>0</v>
      </c>
      <c r="O61" s="129">
        <f>'DHE14-1'!J94</f>
        <v>0</v>
      </c>
      <c r="P61" s="130">
        <f>'DHE14-1'!K94</f>
        <v>0</v>
      </c>
    </row>
    <row r="62" spans="1:16" x14ac:dyDescent="0.2">
      <c r="A62" s="126" t="str">
        <f>RIGHT('DHE14-1'!$D$8,4)</f>
        <v>2016</v>
      </c>
      <c r="B62" s="127" t="str">
        <f>VLOOKUP(D62,Institution!$A$2:$F$55,2,FALSE)</f>
        <v>178396</v>
      </c>
      <c r="C62" s="127" t="str">
        <f>VLOOKUP(D62,Institution!$A$2:$F$55,6,FALSE)</f>
        <v>1010</v>
      </c>
      <c r="D62" s="127" t="str">
        <f>'DHE14-1'!$D$5</f>
        <v>University of Missouri-Columbia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11646</v>
      </c>
      <c r="L62" s="130">
        <f>'DHE14-1'!G98</f>
        <v>87509732.599999994</v>
      </c>
      <c r="M62" s="129">
        <f>'DHE14-1'!H98</f>
        <v>583</v>
      </c>
      <c r="N62" s="130">
        <f>'DHE14-1'!I98</f>
        <v>2459655.2000000002</v>
      </c>
      <c r="O62" s="129">
        <f>'DHE14-1'!J98</f>
        <v>12229</v>
      </c>
      <c r="P62" s="130">
        <f>'DHE14-1'!K98</f>
        <v>89969387.799999997</v>
      </c>
    </row>
    <row r="63" spans="1:16" x14ac:dyDescent="0.2">
      <c r="A63" s="126" t="str">
        <f>RIGHT('DHE14-1'!$D$8,4)</f>
        <v>2016</v>
      </c>
      <c r="B63" s="127" t="str">
        <f>VLOOKUP(D63,Institution!$A$2:$F$55,2,FALSE)</f>
        <v>178396</v>
      </c>
      <c r="C63" s="127" t="str">
        <f>VLOOKUP(D63,Institution!$A$2:$F$55,6,FALSE)</f>
        <v>1010</v>
      </c>
      <c r="D63" s="127" t="str">
        <f>'DHE14-1'!$D$5</f>
        <v>University of Missouri-Columbia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21557</v>
      </c>
      <c r="L63" s="130">
        <f>'DHE14-1'!G99</f>
        <v>318379825.25</v>
      </c>
      <c r="M63" s="129">
        <f>'DHE14-1'!H99</f>
        <v>6731</v>
      </c>
      <c r="N63" s="130">
        <f>'DHE14-1'!I99</f>
        <v>157901327.59999999</v>
      </c>
      <c r="O63" s="129">
        <f>'DHE14-1'!J99</f>
        <v>28288</v>
      </c>
      <c r="P63" s="130">
        <f>'DHE14-1'!K99</f>
        <v>476281152.85000002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142875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2016-10-13T20:02:57Z</cp:lastPrinted>
  <dcterms:created xsi:type="dcterms:W3CDTF">2000-08-10T13:57:29Z</dcterms:created>
  <dcterms:modified xsi:type="dcterms:W3CDTF">2016-10-13T20:04:49Z</dcterms:modified>
</cp:coreProperties>
</file>